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Read me" sheetId="1" state="visible" r:id="rId1"/>
    <sheet xmlns:r="http://schemas.openxmlformats.org/officeDocument/2006/relationships" name="2. Assumptions" sheetId="2" state="visible" r:id="rId2"/>
    <sheet xmlns:r="http://schemas.openxmlformats.org/officeDocument/2006/relationships" name="3. Cost components" sheetId="3" state="visible" r:id="rId3"/>
    <sheet xmlns:r="http://schemas.openxmlformats.org/officeDocument/2006/relationships" name="4. Cohort model" sheetId="4" state="visible" r:id="rId4"/>
    <sheet xmlns:r="http://schemas.openxmlformats.org/officeDocument/2006/relationships" name="5. Children in care" sheetId="5" state="visible" r:id="rId5"/>
    <sheet xmlns:r="http://schemas.openxmlformats.org/officeDocument/2006/relationships" name="6. Sector demand" sheetId="6" state="visible" r:id="rId6"/>
    <sheet xmlns:r="http://schemas.openxmlformats.org/officeDocument/2006/relationships" name="7. Sensitivity" sheetId="7" state="visible" r:id="rId7"/>
    <sheet xmlns:r="http://schemas.openxmlformats.org/officeDocument/2006/relationships" name="8. Sourc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£#,##0.0&quot;m&quot;"/>
  </numFmts>
  <fonts count="10">
    <font>
      <name val="Calibri"/>
      <family val="2"/>
      <color theme="1"/>
      <sz val="11"/>
      <scheme val="minor"/>
    </font>
    <font>
      <b val="1"/>
      <color rgb="0012253A"/>
      <sz val="15"/>
    </font>
    <font>
      <i val="1"/>
      <color rgb="00555555"/>
      <sz val="9"/>
    </font>
    <font>
      <b val="1"/>
      <color rgb="0012253A"/>
      <sz val="10"/>
    </font>
    <font>
      <b val="1"/>
      <color rgb="00FFFFFF"/>
      <sz val="10"/>
    </font>
    <font>
      <b val="1"/>
      <i val="1"/>
      <color rgb="00DE3C16"/>
    </font>
    <font>
      <b val="1"/>
      <color rgb="00DE3C16"/>
    </font>
    <font>
      <b val="1"/>
      <color rgb="0012253A"/>
    </font>
    <font>
      <b val="1"/>
      <color rgb="0012253A"/>
      <sz val="12"/>
    </font>
    <font>
      <color rgb="000563C1"/>
      <sz val="9"/>
      <u val="single"/>
    </font>
  </fonts>
  <fills count="7">
    <fill>
      <patternFill/>
    </fill>
    <fill>
      <patternFill patternType="gray125"/>
    </fill>
    <fill>
      <patternFill patternType="solid">
        <fgColor rgb="0012253A"/>
      </patternFill>
    </fill>
    <fill>
      <patternFill patternType="solid">
        <fgColor rgb="00EAF6FA"/>
      </patternFill>
    </fill>
    <fill>
      <patternFill patternType="solid">
        <fgColor rgb="00FDF4E4"/>
      </patternFill>
    </fill>
    <fill>
      <patternFill patternType="solid">
        <fgColor rgb="002AA1C4"/>
      </patternFill>
    </fill>
    <fill>
      <patternFill patternType="solid">
        <fgColor rgb="00E4AE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2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horizontal="right"/>
    </xf>
    <xf numFmtId="0" fontId="0" fillId="0" borderId="0" applyAlignment="1" pivotButton="0" quotePrefix="0" xfId="0">
      <alignment vertical="center" wrapText="1"/>
    </xf>
    <xf numFmtId="165" fontId="0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0" fontId="7" fillId="0" borderId="0" pivotButton="0" quotePrefix="0" xfId="0"/>
    <xf numFmtId="3" fontId="7" fillId="0" borderId="0" applyAlignment="1" pivotButton="0" quotePrefix="0" xfId="0">
      <alignment horizontal="right"/>
    </xf>
    <xf numFmtId="0" fontId="5" fillId="0" borderId="0" pivotButton="0" quotePrefix="0" xfId="0"/>
    <xf numFmtId="164" fontId="6" fillId="0" borderId="0" pivotButton="0" quotePrefix="0" xfId="0"/>
    <xf numFmtId="165" fontId="0" fillId="0" borderId="0" pivotButton="0" quotePrefix="0" xfId="0"/>
    <xf numFmtId="164" fontId="0" fillId="0" borderId="0" pivotButton="0" quotePrefix="0" xfId="0"/>
    <xf numFmtId="0" fontId="7" fillId="3" borderId="0" pivotButton="0" quotePrefix="0" xfId="0"/>
    <xf numFmtId="165" fontId="7" fillId="3" borderId="0" pivotButton="0" quotePrefix="0" xfId="0"/>
    <xf numFmtId="164" fontId="7" fillId="3" borderId="0" pivotButton="0" quotePrefix="0" xfId="0"/>
    <xf numFmtId="0" fontId="7" fillId="4" borderId="0" pivotButton="0" quotePrefix="0" xfId="0"/>
    <xf numFmtId="165" fontId="7" fillId="4" borderId="0" pivotButton="0" quotePrefix="0" xfId="0"/>
    <xf numFmtId="3" fontId="7" fillId="4" borderId="0" pivotButton="0" quotePrefix="0" xfId="0"/>
    <xf numFmtId="164" fontId="7" fillId="4" borderId="0" pivotButton="0" quotePrefix="0" xfId="0"/>
    <xf numFmtId="3" fontId="0" fillId="0" borderId="0" pivotButton="0" quotePrefix="0" xfId="0"/>
    <xf numFmtId="0" fontId="8" fillId="0" borderId="0" pivotButton="0" quotePrefix="0" xfId="0"/>
    <xf numFmtId="0" fontId="4" fillId="5" borderId="0" applyAlignment="1" pivotButton="0" quotePrefix="0" xfId="0">
      <alignment vertical="center" wrapText="1"/>
    </xf>
    <xf numFmtId="3" fontId="7" fillId="3" borderId="0" pivotButton="0" quotePrefix="0" xfId="0"/>
    <xf numFmtId="0" fontId="7" fillId="4" borderId="0" applyAlignment="1" pivotButton="0" quotePrefix="0" xfId="0">
      <alignment vertical="center" wrapText="1"/>
    </xf>
    <xf numFmtId="0" fontId="3" fillId="0" borderId="0" pivotButton="0" quotePrefix="0" xfId="0"/>
    <xf numFmtId="0" fontId="0" fillId="3" borderId="0" pivotButton="0" quotePrefix="0" xfId="0"/>
    <xf numFmtId="9" fontId="4" fillId="2" borderId="0" applyAlignment="1" pivotButton="0" quotePrefix="0" xfId="0">
      <alignment vertical="center" wrapText="1"/>
    </xf>
    <xf numFmtId="165" fontId="7" fillId="0" borderId="0" pivotButton="0" quotePrefix="0" xfId="0"/>
    <xf numFmtId="166" fontId="0" fillId="0" borderId="0" pivotButton="0" quotePrefix="0" xfId="0"/>
    <xf numFmtId="166" fontId="7" fillId="6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Relationships xmlns="http://schemas.openxmlformats.org/package/2006/relationships"><Relationship Type="http://schemas.openxmlformats.org/officeDocument/2006/relationships/hyperlink" Target="https://nationalfasd.org.uk/the-cost-of-inaction-on-fasd/" TargetMode="External" Id="rId1"/><Relationship Type="http://schemas.openxmlformats.org/officeDocument/2006/relationships/hyperlink" Target="https://pmc.ncbi.nlm.nih.gov/articles/PMC9292152/" TargetMode="External" Id="rId2"/><Relationship Type="http://schemas.openxmlformats.org/officeDocument/2006/relationships/hyperlink" Target="https://pubmed.ncbi.nlm.nih.gov/30383615/" TargetMode="External" Id="rId3"/><Relationship Type="http://schemas.openxmlformats.org/officeDocument/2006/relationships/hyperlink" Target="https://nationalfasd.org.uk/learn-more/practitioners/social-care-workers/" TargetMode="External" Id="rId4"/><Relationship Type="http://schemas.openxmlformats.org/officeDocument/2006/relationships/hyperlink" Target="https://www.gov.uk/government/publications/fetal-alcohol-spectrum-disorder-health-needs-assessment/fetal-alcohol-spectrum-disorder-health-needs-assessment" TargetMode="External" Id="rId5"/><Relationship Type="http://schemas.openxmlformats.org/officeDocument/2006/relationships/hyperlink" Target="https://cambridgeshireinsight.org.uk/2024-cyp-jsna/" TargetMode="External" Id="rId6"/><Relationship Type="http://schemas.openxmlformats.org/officeDocument/2006/relationships/hyperlink" Target="https://learntogether.peterborough.gov.uk/asset-library/fasd-pcc-send-forum-08.05.25.pdf" TargetMode="External" Id="rId7"/><Relationship Type="http://schemas.openxmlformats.org/officeDocument/2006/relationships/hyperlink" Target="https://learntogether.peterborough.gov.uk/asset-library/virtual-school-annual-report-2024-25.pdf" TargetMode="External" Id="rId8"/><Relationship Type="http://schemas.openxmlformats.org/officeDocument/2006/relationships/hyperlink" Target="https://www.nomisweb.co.uk/" TargetMode="External" Id="rId9"/><Relationship Type="http://schemas.openxmlformats.org/officeDocument/2006/relationships/hyperlink" Target="https://www.gov.uk/government/publications/the-green-book-appraisal-and-evaluation-in-central-governent" TargetMode="External" Id="rId10"/><Relationship Type="http://schemas.openxmlformats.org/officeDocument/2006/relationships/hyperlink" Target="https://www.pinpoint-cambs.org.uk/information-hub/your-childs-needs/fetal-alcohol-spectrum-disorder/" TargetMode="External" Id="rId11"/><Relationship Type="http://schemas.openxmlformats.org/officeDocument/2006/relationships/hyperlink" Target="https://www.facebook.com/groups/1320037864718272" TargetMode="External" Id="rId1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08" customWidth="1" min="2" max="2"/>
  </cols>
  <sheetData>
    <row r="1">
      <c r="A1" s="1" t="inlineStr">
        <is>
          <t>Peterborough &amp; Cambridgeshire FASD economic impact model</t>
        </is>
      </c>
    </row>
    <row r="2">
      <c r="A2" s="2" t="inlineStr">
        <is>
          <t>Peterborough &amp; Cambridgeshire Family FASD Support Group | September 2026 | Prepared for FASD Awareness Month</t>
        </is>
      </c>
    </row>
    <row r="4" ht="30" customHeight="1">
      <c r="A4" s="3" t="inlineStr">
        <is>
          <t>Item</t>
        </is>
      </c>
      <c r="B4" s="3" t="inlineStr">
        <is>
          <t>Detail</t>
        </is>
      </c>
    </row>
    <row r="5" ht="46" customHeight="1">
      <c r="A5" s="4" t="inlineStr">
        <is>
          <t>Purpose</t>
        </is>
      </c>
      <c r="B5" s="5" t="inlineStr">
        <is>
          <t>Applies the National FASD 'Cost of Inaction on FASD' (June 2026) UK cost model to the youth population of Cambridgeshire and Peterborough, at the 4% upper-bound prevalence from the Salford active case ascertainment study.</t>
        </is>
      </c>
    </row>
    <row r="6" ht="46" customHeight="1">
      <c r="A6" s="4" t="inlineStr">
        <is>
          <t>Headline (4% prevalence)</t>
        </is>
      </c>
      <c r="B6" s="5" t="inlineStr">
        <is>
          <t>~449 of the 11,216 eighteen-year-olds across Cambridgeshire and Peterborough are likely to have FASD. Projected lifetime societal cost for that single year-group: ~£190 million (~£62 million present value still to be incurred from age 18 onward).</t>
        </is>
      </c>
    </row>
    <row r="7" ht="46" customHeight="1">
      <c r="A7" s="4" t="inlineStr">
        <is>
          <t>Local evidence</t>
        </is>
      </c>
      <c r="B7" s="5" t="inlineStr">
        <is>
          <t>Peterborough is one of the few places in England with its own published FASD finding: Gregory, Reddy &amp; Young (2015) identified FASD in 27% of children in care, and prenatal alcohol exposure in 75% of children assessed at adoption medicals. Both figures are quoted in the DHSC/OHID FASD Health Needs Assessment (2021).</t>
        </is>
      </c>
    </row>
    <row r="8" ht="46" customHeight="1">
      <c r="A8" s="4" t="inlineStr">
        <is>
          <t>Cost source</t>
        </is>
      </c>
      <c r="B8" s="5" t="inlineStr">
        <is>
          <t>National FASD, The Cost of Inaction on FASD, June 2026, Appendix A. Lifetime cost per diagnosed UK case £359,835; per undiagnosed case £431,802 (20% premium). Assumed diagnosis rate 10%. Blended cost per case £424,605.</t>
        </is>
      </c>
    </row>
    <row r="9" ht="46" customHeight="1">
      <c r="A9" s="4" t="inlineStr">
        <is>
          <t>Cost derivation</t>
        </is>
      </c>
      <c r="B9" s="5" t="inlineStr">
        <is>
          <t>PPP-adjusted from Greenmyer et al. (2018) US estimate of $596,000 per case, using the two-step GDP PPP + healthcare-specific price ratio method of Shemilt et al. (BMJ, 2010). 2024 GBP.</t>
        </is>
      </c>
    </row>
    <row r="10" ht="46" customHeight="1">
      <c r="A10" s="4" t="inlineStr">
        <is>
          <t>Prevalence source</t>
        </is>
      </c>
      <c r="B10" s="5" t="inlineStr">
        <is>
          <t>McCarthy et al. (2021), Salford / Greater Manchester active case ascertainment study: 1.8-4.2% of children in mainstream primary schools met criteria for FASD or possible FASD; none had been previously identified. 4% is the upper bound; 2.7% is the National FASD central case.</t>
        </is>
      </c>
    </row>
    <row r="11" ht="46" customHeight="1">
      <c r="A11" s="4" t="inlineStr">
        <is>
          <t>Population source</t>
        </is>
      </c>
      <c r="B11" s="5" t="inlineStr">
        <is>
          <t>ONS mid-2025 population estimates via Nomis. Cambridgeshire (E10000003): age 18 = 8,305; ages 0-17 = 139,938; all ages = 716,983. Peterborough (E06000031): age 18 = 2,911; ages 0-17 = 56,200; all ages = 224,757.</t>
        </is>
      </c>
    </row>
    <row r="12" ht="46" customHeight="1">
      <c r="A12" s="4" t="inlineStr">
        <is>
          <t>Local benchmark</t>
        </is>
      </c>
      <c r="B12" s="5" t="inlineStr">
        <is>
          <t>The Cambridgeshire &amp; Peterborough Children and Young People JSNA (2024) already applies a 3% FASD prevalence assumption locally, giving approximately 4,500 children in Cambridgeshire and 1,700 in Peterborough. This model runs 1.8%, 2.7%, 3.6% and 4.0% alongside that.</t>
        </is>
      </c>
    </row>
    <row r="13" ht="46" customHeight="1">
      <c r="A13" s="4" t="inlineStr">
        <is>
          <t>Discounting</t>
        </is>
      </c>
      <c r="B13" s="5" t="inlineStr">
        <is>
          <t>HM Treasury Green Book Social Time Preference Rate of 3.5% applied to costs falling after age 18. Lifetime costs annualised over 75 years, per the National FASD model.</t>
        </is>
      </c>
    </row>
    <row r="14" ht="46" customHeight="1">
      <c r="A14" s="4" t="inlineStr">
        <is>
          <t>How to cite</t>
        </is>
      </c>
      <c r="B14" s="5" t="inlineStr">
        <is>
          <t>Describe outputs as PPP-adjusted estimates derived from Greenmyer et al. (2018) via Shemilt et al. (2010), applied to ONS Cambridgeshire and Peterborough population estimates - not as primary local measurements.</t>
        </is>
      </c>
    </row>
    <row r="15" ht="46" customHeight="1">
      <c r="A15" s="4" t="inlineStr">
        <is>
          <t>Prepared with</t>
        </is>
      </c>
      <c r="B15" s="5" t="inlineStr">
        <is>
          <t>Created with the help of Perplexity AI. All figures, formulas and sources were checked against the underlying publications listed on the Sources sheet.</t>
        </is>
      </c>
    </row>
    <row r="16" ht="46" customHeight="1">
      <c r="A16" s="4" t="inlineStr">
        <is>
          <t>Key limitations</t>
        </is>
      </c>
      <c r="B16" s="5" t="inlineStr">
        <is>
          <t>No UK-native lifetime cost study exists; the 20% undiagnosed premium is a working assumption; caregiver and family costs are largely excluded, so figures understate the true burden; general-population FASD prevalence has never been measured in Cambridgeshire or Peterborough.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3" customWidth="1" min="3" max="3"/>
    <col width="62" customWidth="1" min="4" max="4"/>
  </cols>
  <sheetData>
    <row r="1">
      <c r="A1" s="1" t="inlineStr">
        <is>
          <t>Model inputs</t>
        </is>
      </c>
    </row>
    <row r="2">
      <c r="A2" s="2" t="inlineStr">
        <is>
          <t>All inputs are editable - every downstream sheet recalculates by formula.</t>
        </is>
      </c>
    </row>
    <row r="4" ht="30" customHeight="1">
      <c r="A4" s="3" t="inlineStr">
        <is>
          <t>Parameter</t>
        </is>
      </c>
      <c r="B4" s="3" t="inlineStr">
        <is>
          <t>Value</t>
        </is>
      </c>
      <c r="C4" s="3" t="inlineStr">
        <is>
          <t>Unit</t>
        </is>
      </c>
      <c r="D4" s="3" t="inlineStr">
        <is>
          <t>Source</t>
        </is>
      </c>
    </row>
    <row r="5" ht="26" customHeight="1">
      <c r="A5" t="inlineStr">
        <is>
          <t>Lifetime cost per DIAGNOSED case</t>
        </is>
      </c>
      <c r="B5" s="6" t="n">
        <v>359835</v>
      </c>
      <c r="C5" t="inlineStr">
        <is>
          <t>£ (2024)</t>
        </is>
      </c>
      <c r="D5" s="7" t="inlineStr">
        <is>
          <t>National FASD Cost of Inaction 2026, App. A</t>
        </is>
      </c>
    </row>
    <row r="6" ht="26" customHeight="1">
      <c r="A6" t="inlineStr">
        <is>
          <t>Undiagnosed cost premium</t>
        </is>
      </c>
      <c r="B6" s="8" t="n">
        <v>0.2</v>
      </c>
      <c r="C6" t="inlineStr">
        <is>
          <t>proportion</t>
        </is>
      </c>
      <c r="D6" s="7" t="inlineStr">
        <is>
          <t>National FASD Cost of Inaction 2026, App. A</t>
        </is>
      </c>
    </row>
    <row r="7" ht="26" customHeight="1">
      <c r="A7" t="inlineStr">
        <is>
          <t>Assumed UK diagnosis rate</t>
        </is>
      </c>
      <c r="B7" s="8" t="n">
        <v>0.1</v>
      </c>
      <c r="C7" t="inlineStr">
        <is>
          <t>proportion</t>
        </is>
      </c>
      <c r="D7" s="7" t="inlineStr">
        <is>
          <t>National FASD; Salford found none previously identified</t>
        </is>
      </c>
    </row>
    <row r="8" ht="26" customHeight="1">
      <c r="A8" t="inlineStr">
        <is>
          <t>Prevalence - headline</t>
        </is>
      </c>
      <c r="B8" s="8" t="n">
        <v>0.04</v>
      </c>
      <c r="C8" t="inlineStr">
        <is>
          <t>proportion</t>
        </is>
      </c>
      <c r="D8" s="7" t="inlineStr">
        <is>
          <t>McCarthy et al. 2021, upper bound</t>
        </is>
      </c>
    </row>
    <row r="9" ht="26" customHeight="1">
      <c r="A9" t="inlineStr">
        <is>
          <t>Prevalence - central case</t>
        </is>
      </c>
      <c r="B9" s="8" t="n">
        <v>0.027</v>
      </c>
      <c r="C9" t="inlineStr">
        <is>
          <t>proportion</t>
        </is>
      </c>
      <c r="D9" s="7" t="inlineStr">
        <is>
          <t>National FASD central case (midpoint)</t>
        </is>
      </c>
    </row>
    <row r="10" ht="26" customHeight="1">
      <c r="A10" t="inlineStr">
        <is>
          <t>Prevalence - lower bound</t>
        </is>
      </c>
      <c r="B10" s="8" t="n">
        <v>0.018</v>
      </c>
      <c r="C10" t="inlineStr">
        <is>
          <t>proportion</t>
        </is>
      </c>
      <c r="D10" s="7" t="inlineStr">
        <is>
          <t>McCarthy et al. 2021, lower bound</t>
        </is>
      </c>
    </row>
    <row r="11" ht="26" customHeight="1">
      <c r="A11" t="inlineStr">
        <is>
          <t>Discount rate</t>
        </is>
      </c>
      <c r="B11" s="8" t="n">
        <v>0.035</v>
      </c>
      <c r="C11" t="inlineStr">
        <is>
          <t>per annum</t>
        </is>
      </c>
      <c r="D11" s="7" t="inlineStr">
        <is>
          <t>HM Treasury Green Book STPR</t>
        </is>
      </c>
    </row>
    <row r="12" ht="26" customHeight="1">
      <c r="A12" t="inlineStr">
        <is>
          <t>Assumed life expectancy horizon</t>
        </is>
      </c>
      <c r="B12" s="9" t="n">
        <v>75</v>
      </c>
      <c r="C12" t="inlineStr">
        <is>
          <t>years</t>
        </is>
      </c>
      <c r="D12" s="7" t="inlineStr">
        <is>
          <t>National FASD model annualisation</t>
        </is>
      </c>
    </row>
    <row r="13" ht="26" customHeight="1">
      <c r="A13" t="inlineStr">
        <is>
          <t>Cohort age</t>
        </is>
      </c>
      <c r="B13" s="9" t="n">
        <v>18</v>
      </c>
      <c r="C13" t="inlineStr">
        <is>
          <t>years</t>
        </is>
      </c>
      <c r="D13" s="7" t="inlineStr">
        <is>
          <t>Young people entering adulthood</t>
        </is>
      </c>
    </row>
    <row r="14" ht="26" customHeight="1">
      <c r="A14" t="inlineStr">
        <is>
          <t>Cambridgeshire population age 18</t>
        </is>
      </c>
      <c r="B14" s="10" t="n">
        <v>8305</v>
      </c>
      <c r="C14" t="inlineStr">
        <is>
          <t>persons</t>
        </is>
      </c>
      <c r="D14" s="7" t="inlineStr">
        <is>
          <t>ONS mid-2025, Nomis (E10000003)</t>
        </is>
      </c>
    </row>
    <row r="15" ht="26" customHeight="1">
      <c r="A15" t="inlineStr">
        <is>
          <t>Peterborough population age 18</t>
        </is>
      </c>
      <c r="B15" s="10" t="n">
        <v>2911</v>
      </c>
      <c r="C15" t="inlineStr">
        <is>
          <t>persons</t>
        </is>
      </c>
      <c r="D15" s="7" t="inlineStr">
        <is>
          <t>ONS mid-2025, Nomis (E06000031)</t>
        </is>
      </c>
    </row>
    <row r="16" ht="26" customHeight="1">
      <c r="A16" s="11" t="inlineStr">
        <is>
          <t>COMBINED population age 18</t>
        </is>
      </c>
      <c r="B16" s="12">
        <f>B14+B15</f>
        <v/>
      </c>
      <c r="C16" t="inlineStr">
        <is>
          <t>persons</t>
        </is>
      </c>
      <c r="D16" s="7" t="inlineStr">
        <is>
          <t>Sum of the two upper-tier authorities</t>
        </is>
      </c>
    </row>
    <row r="17" ht="26" customHeight="1">
      <c r="A17" t="inlineStr">
        <is>
          <t>Cambridgeshire population age 0-17</t>
        </is>
      </c>
      <c r="B17" s="10" t="n">
        <v>139938</v>
      </c>
      <c r="C17" t="inlineStr">
        <is>
          <t>persons</t>
        </is>
      </c>
      <c r="D17" s="7" t="inlineStr">
        <is>
          <t>ONS mid-2025, Nomis</t>
        </is>
      </c>
    </row>
    <row r="18" ht="26" customHeight="1">
      <c r="A18" t="inlineStr">
        <is>
          <t>Peterborough population age 0-17</t>
        </is>
      </c>
      <c r="B18" s="10" t="n">
        <v>56200</v>
      </c>
      <c r="C18" t="inlineStr">
        <is>
          <t>persons</t>
        </is>
      </c>
      <c r="D18" s="7" t="inlineStr">
        <is>
          <t>ONS mid-2025, Nomis</t>
        </is>
      </c>
    </row>
    <row r="19" ht="26" customHeight="1">
      <c r="A19" s="11" t="inlineStr">
        <is>
          <t>COMBINED population age 0-17</t>
        </is>
      </c>
      <c r="B19" s="12">
        <f>B17+B18</f>
        <v/>
      </c>
      <c r="C19" t="inlineStr">
        <is>
          <t>persons</t>
        </is>
      </c>
      <c r="D19" s="7" t="inlineStr">
        <is>
          <t>Sum of the two upper-tier authorities</t>
        </is>
      </c>
    </row>
    <row r="20" ht="26" customHeight="1">
      <c r="A20" t="inlineStr">
        <is>
          <t>COMBINED population all ages</t>
        </is>
      </c>
      <c r="B20" s="10" t="n">
        <v>941740</v>
      </c>
      <c r="C20" t="inlineStr">
        <is>
          <t>persons</t>
        </is>
      </c>
      <c r="D20" s="7" t="inlineStr">
        <is>
          <t>ONS mid-2025: 716,983 + 224,757</t>
        </is>
      </c>
    </row>
    <row r="21" ht="26" customHeight="1">
      <c r="A21" t="inlineStr">
        <is>
          <t>Children in care - Peterborough</t>
        </is>
      </c>
      <c r="B21" s="10" t="n">
        <v>422</v>
      </c>
      <c r="C21" t="inlineStr">
        <is>
          <t>children</t>
        </is>
      </c>
      <c r="D21" s="7" t="inlineStr">
        <is>
          <t>Peterborough Virtual School Annual Report 2024-25, 31 March 2025</t>
        </is>
      </c>
    </row>
    <row r="22" ht="26" customHeight="1">
      <c r="A22" t="inlineStr">
        <is>
          <t>Children in care - Cambridgeshire</t>
        </is>
      </c>
      <c r="B22" s="10" t="n">
        <v>646</v>
      </c>
      <c r="C22" t="inlineStr">
        <is>
          <t>children</t>
        </is>
      </c>
      <c r="D22" s="7" t="inlineStr">
        <is>
          <t>Cambridgeshire &amp; Peterborough CYP JSNA 2024 (2022/23 figure)</t>
        </is>
      </c>
    </row>
    <row r="23" ht="26" customHeight="1">
      <c r="A23" t="inlineStr">
        <is>
          <t>FASD prevalence in children in care</t>
        </is>
      </c>
      <c r="B23" s="8" t="n">
        <v>0.27</v>
      </c>
      <c r="C23" t="inlineStr">
        <is>
          <t>proportion</t>
        </is>
      </c>
      <c r="D23" s="7" t="inlineStr">
        <is>
          <t>Gregory, Reddy &amp; Young (2015), Peterborough; quoted in DHSC/OHID HNA 2021</t>
        </is>
      </c>
    </row>
    <row r="24" ht="26" customHeight="1">
      <c r="A24" t="inlineStr">
        <is>
          <t>Prenatal alcohol exposure at adoption medicals</t>
        </is>
      </c>
      <c r="B24" s="8" t="n">
        <v>0.75</v>
      </c>
      <c r="C24" t="inlineStr">
        <is>
          <t>proportion</t>
        </is>
      </c>
      <c r="D24" s="7" t="inlineStr">
        <is>
          <t>Gregory, Reddy &amp; Young (2015), Peterborough</t>
        </is>
      </c>
    </row>
    <row r="25" ht="26" customHeight="1">
      <c r="A25" s="13" t="inlineStr">
        <is>
          <t>Derived: lifetime cost per UNDIAGNOSED case</t>
        </is>
      </c>
      <c r="B25" s="14">
        <f>'2. Assumptions'!$B$5*(1+'2. Assumptions'!$B$6)</f>
        <v/>
      </c>
      <c r="D25" s="7" t="n"/>
    </row>
    <row r="26" ht="26" customHeight="1">
      <c r="A26" s="13" t="inlineStr">
        <is>
          <t>Derived: blended cost per case (10% diagnosed)</t>
        </is>
      </c>
      <c r="B26" s="14">
        <f>'2. Assumptions'!$B$7*'2. Assumptions'!$B$5+(1-'2. Assumptions'!$B$7)*'2. Assumptions'!$B$25</f>
        <v/>
      </c>
      <c r="D26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0" customWidth="1" min="1" max="1"/>
    <col width="20" customWidth="1" min="2" max="2"/>
    <col width="20" customWidth="1" min="3" max="3"/>
    <col width="21" customWidth="1" min="4" max="4"/>
    <col width="19" customWidth="1" min="5" max="5"/>
  </cols>
  <sheetData>
    <row r="1">
      <c r="A1" s="1" t="inlineStr">
        <is>
          <t>Lifetime cost per case by sector</t>
        </is>
      </c>
    </row>
    <row r="2">
      <c r="A2" s="2" t="inlineStr">
        <is>
          <t>Component shares from National FASD Cost of Inaction 2026, Appendix A (PPP-adjusted from Greenmyer et al. 2018).</t>
        </is>
      </c>
    </row>
    <row r="4" ht="30" customHeight="1">
      <c r="A4" s="3" t="inlineStr">
        <is>
          <t>Sector</t>
        </is>
      </c>
      <c r="B4" s="3" t="inlineStr">
        <is>
          <t>Share of lifetime cost</t>
        </is>
      </c>
      <c r="C4" s="3" t="inlineStr">
        <is>
          <t>Per diagnosed case (£)</t>
        </is>
      </c>
      <c r="D4" s="3" t="inlineStr">
        <is>
          <t>Per undiagnosed case (£)</t>
        </is>
      </c>
      <c r="E4" s="3" t="inlineStr">
        <is>
          <t>Blended per case (£)</t>
        </is>
      </c>
    </row>
    <row r="5">
      <c r="A5" t="inlineStr">
        <is>
          <t>Lost productivity (foregone earnings, unemployment, underemployment)</t>
        </is>
      </c>
      <c r="B5" s="15">
        <f>123372/'2. Assumptions'!$B$5</f>
        <v/>
      </c>
      <c r="C5" s="16" t="n">
        <v>123372</v>
      </c>
      <c r="D5" s="16">
        <f>C5*(1+'2. Assumptions'!$B$6)</f>
        <v/>
      </c>
      <c r="E5" s="16">
        <f>'2. Assumptions'!$B$7*C5+(1-'2. Assumptions'!$B$7)*D5</f>
        <v/>
      </c>
    </row>
    <row r="6">
      <c r="A6" t="inlineStr">
        <is>
          <t>Social services &amp; out-of-home care</t>
        </is>
      </c>
      <c r="B6" s="15">
        <f>74023/'2. Assumptions'!$B$5</f>
        <v/>
      </c>
      <c r="C6" s="16" t="n">
        <v>74023</v>
      </c>
      <c r="D6" s="16">
        <f>C6*(1+'2. Assumptions'!$B$6)</f>
        <v/>
      </c>
      <c r="E6" s="16">
        <f>'2. Assumptions'!$B$7*C6+(1-'2. Assumptions'!$B$7)*D6</f>
        <v/>
      </c>
    </row>
    <row r="7">
      <c r="A7" t="inlineStr">
        <is>
          <t>Special education &amp; SEND</t>
        </is>
      </c>
      <c r="B7" s="15">
        <f>61686/'2. Assumptions'!$B$5</f>
        <v/>
      </c>
      <c r="C7" s="16" t="n">
        <v>61686</v>
      </c>
      <c r="D7" s="16">
        <f>C7*(1+'2. Assumptions'!$B$6)</f>
        <v/>
      </c>
      <c r="E7" s="16">
        <f>'2. Assumptions'!$B$7*C7+(1-'2. Assumptions'!$B$7)*D7</f>
        <v/>
      </c>
    </row>
    <row r="8">
      <c r="A8" t="inlineStr">
        <is>
          <t>Healthcare (NHS)</t>
        </is>
      </c>
      <c r="B8" s="15">
        <f>51405/'2. Assumptions'!$B$5</f>
        <v/>
      </c>
      <c r="C8" s="16" t="n">
        <v>51405</v>
      </c>
      <c r="D8" s="16">
        <f>C8*(1+'2. Assumptions'!$B$6)</f>
        <v/>
      </c>
      <c r="E8" s="16">
        <f>'2. Assumptions'!$B$7*C8+(1-'2. Assumptions'!$B$7)*D8</f>
        <v/>
      </c>
    </row>
    <row r="9">
      <c r="A9" t="inlineStr">
        <is>
          <t>Criminal justice</t>
        </is>
      </c>
      <c r="B9" s="15">
        <f>32899/'2. Assumptions'!$B$5</f>
        <v/>
      </c>
      <c r="C9" s="16" t="n">
        <v>32899</v>
      </c>
      <c r="D9" s="16">
        <f>C9*(1+'2. Assumptions'!$B$6)</f>
        <v/>
      </c>
      <c r="E9" s="16">
        <f>'2. Assumptions'!$B$7*C9+(1-'2. Assumptions'!$B$7)*D9</f>
        <v/>
      </c>
    </row>
    <row r="10">
      <c r="A10" t="inlineStr">
        <is>
          <t>Housing, benefits &amp; family support</t>
        </is>
      </c>
      <c r="B10" s="15">
        <f>16450/'2. Assumptions'!$B$5</f>
        <v/>
      </c>
      <c r="C10" s="16" t="n">
        <v>16450</v>
      </c>
      <c r="D10" s="16">
        <f>C10*(1+'2. Assumptions'!$B$6)</f>
        <v/>
      </c>
      <c r="E10" s="16">
        <f>'2. Assumptions'!$B$7*C10+(1-'2. Assumptions'!$B$7)*D10</f>
        <v/>
      </c>
    </row>
    <row r="11">
      <c r="A11" s="17" t="inlineStr">
        <is>
          <t>TOTAL</t>
        </is>
      </c>
      <c r="B11" s="18">
        <f>SUM(B5:B10)</f>
        <v/>
      </c>
      <c r="C11" s="19">
        <f>SUM(C5:C10)</f>
        <v/>
      </c>
      <c r="D11" s="19">
        <f>SUM(D5:D10)</f>
        <v/>
      </c>
      <c r="E11" s="19">
        <f>SUM(E5:E10)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5" customWidth="1" min="2" max="2"/>
    <col width="20" customWidth="1" min="3" max="3"/>
    <col width="17" customWidth="1" min="4" max="4"/>
    <col width="24" customWidth="1" min="5" max="5"/>
    <col width="27" customWidth="1" min="6" max="6"/>
    <col width="25" customWidth="1" min="7" max="7"/>
    <col width="27" customWidth="1" min="8" max="8"/>
  </cols>
  <sheetData>
    <row r="1">
      <c r="A1" s="1" t="inlineStr">
        <is>
          <t>Cambridgeshire &amp; Peterborough 18-year-old cohort - projected societal cost</t>
        </is>
      </c>
    </row>
    <row r="2">
      <c r="A2" s="2" t="inlineStr">
        <is>
          <t>Prevalence scenarios applied to the 11,216 residents aged 18 across Cambridgeshire (8,305) and Peterborough (2,911). ONS mid-2025.</t>
        </is>
      </c>
    </row>
    <row r="4" ht="40" customHeight="1">
      <c r="A4" s="3" t="inlineStr">
        <is>
          <t>Prevalence scenario</t>
        </is>
      </c>
      <c r="B4" s="3" t="inlineStr">
        <is>
          <t>Rate</t>
        </is>
      </c>
      <c r="C4" s="3" t="inlineStr">
        <is>
          <t>Young people with FASD in the cohort</t>
        </is>
      </c>
      <c r="D4" s="3" t="inlineStr">
        <is>
          <t>Likely undiagnosed</t>
        </is>
      </c>
      <c r="E4" s="3" t="inlineStr">
        <is>
          <t>Full lifetime societal cost (£)</t>
        </is>
      </c>
      <c r="F4" s="3" t="inlineStr">
        <is>
          <t>Cost still to fall after age 18, undiscounted (£)</t>
        </is>
      </c>
      <c r="G4" s="3" t="inlineStr">
        <is>
          <t>Present value of post-18 costs at 3.5% (£)</t>
        </is>
      </c>
      <c r="H4" s="3" t="inlineStr">
        <is>
          <t>Avoidable cost if all were identified &amp; supported (£)</t>
        </is>
      </c>
    </row>
    <row r="5">
      <c r="A5" s="20" t="inlineStr">
        <is>
          <t>Upper bound - Salford ACA study (headline)</t>
        </is>
      </c>
      <c r="B5" s="21" t="n">
        <v>0.04</v>
      </c>
      <c r="C5" s="22">
        <f>'2. Assumptions'!$B$16*B5</f>
        <v/>
      </c>
      <c r="D5" s="22">
        <f>C5*(1-'2. Assumptions'!$B$7)</f>
        <v/>
      </c>
      <c r="E5" s="23">
        <f>C5*'2. Assumptions'!$B$26</f>
        <v/>
      </c>
      <c r="F5" s="23">
        <f>E5*('2. Assumptions'!$B$12-'2. Assumptions'!$B$13)/'2. Assumptions'!$B$12</f>
        <v/>
      </c>
      <c r="G5" s="23">
        <f>C5*('2. Assumptions'!$B$26/'2. Assumptions'!$B$12)*(1-(1+'2. Assumptions'!$B$11)^-('2. Assumptions'!$B$12-'2. Assumptions'!$B$13))/'2. Assumptions'!$B$11</f>
        <v/>
      </c>
      <c r="H5" s="23">
        <f>D5*('2. Assumptions'!$B$25-'2. Assumptions'!$B$5)</f>
        <v/>
      </c>
    </row>
    <row r="6">
      <c r="A6" t="inlineStr">
        <is>
          <t>Salford study midpoint of published range</t>
        </is>
      </c>
      <c r="B6" s="15" t="n">
        <v>0.036</v>
      </c>
      <c r="C6" s="24">
        <f>'2. Assumptions'!$B$16*B6</f>
        <v/>
      </c>
      <c r="D6" s="24">
        <f>C6*(1-'2. Assumptions'!$B$7)</f>
        <v/>
      </c>
      <c r="E6" s="16">
        <f>C6*'2. Assumptions'!$B$26</f>
        <v/>
      </c>
      <c r="F6" s="16">
        <f>E6*('2. Assumptions'!$B$12-'2. Assumptions'!$B$13)/'2. Assumptions'!$B$12</f>
        <v/>
      </c>
      <c r="G6" s="16">
        <f>C6*('2. Assumptions'!$B$26/'2. Assumptions'!$B$12)*(1-(1+'2. Assumptions'!$B$11)^-('2. Assumptions'!$B$12-'2. Assumptions'!$B$13))/'2. Assumptions'!$B$11</f>
        <v/>
      </c>
      <c r="H6" s="16">
        <f>D6*('2. Assumptions'!$B$25-'2. Assumptions'!$B$5)</f>
        <v/>
      </c>
    </row>
    <row r="7">
      <c r="A7" t="inlineStr">
        <is>
          <t>Local JSNA working assumption (3%)</t>
        </is>
      </c>
      <c r="B7" s="15" t="n">
        <v>0.03</v>
      </c>
      <c r="C7" s="24">
        <f>'2. Assumptions'!$B$16*B7</f>
        <v/>
      </c>
      <c r="D7" s="24">
        <f>C7*(1-'2. Assumptions'!$B$7)</f>
        <v/>
      </c>
      <c r="E7" s="16">
        <f>C7*'2. Assumptions'!$B$26</f>
        <v/>
      </c>
      <c r="F7" s="16">
        <f>E7*('2. Assumptions'!$B$12-'2. Assumptions'!$B$13)/'2. Assumptions'!$B$12</f>
        <v/>
      </c>
      <c r="G7" s="16">
        <f>C7*('2. Assumptions'!$B$26/'2. Assumptions'!$B$12)*(1-(1+'2. Assumptions'!$B$11)^-('2. Assumptions'!$B$12-'2. Assumptions'!$B$13))/'2. Assumptions'!$B$11</f>
        <v/>
      </c>
      <c r="H7" s="16">
        <f>D7*('2. Assumptions'!$B$25-'2. Assumptions'!$B$5)</f>
        <v/>
      </c>
    </row>
    <row r="8">
      <c r="A8" t="inlineStr">
        <is>
          <t>National FASD central case</t>
        </is>
      </c>
      <c r="B8" s="15" t="n">
        <v>0.027</v>
      </c>
      <c r="C8" s="24">
        <f>'2. Assumptions'!$B$16*B8</f>
        <v/>
      </c>
      <c r="D8" s="24">
        <f>C8*(1-'2. Assumptions'!$B$7)</f>
        <v/>
      </c>
      <c r="E8" s="16">
        <f>C8*'2. Assumptions'!$B$26</f>
        <v/>
      </c>
      <c r="F8" s="16">
        <f>E8*('2. Assumptions'!$B$12-'2. Assumptions'!$B$13)/'2. Assumptions'!$B$12</f>
        <v/>
      </c>
      <c r="G8" s="16">
        <f>C8*('2. Assumptions'!$B$26/'2. Assumptions'!$B$12)*(1-(1+'2. Assumptions'!$B$11)^-('2. Assumptions'!$B$12-'2. Assumptions'!$B$13))/'2. Assumptions'!$B$11</f>
        <v/>
      </c>
      <c r="H8" s="16">
        <f>D8*('2. Assumptions'!$B$25-'2. Assumptions'!$B$5)</f>
        <v/>
      </c>
    </row>
    <row r="9">
      <c r="A9" t="inlineStr">
        <is>
          <t>Lower bound - Salford ACA study</t>
        </is>
      </c>
      <c r="B9" s="15" t="n">
        <v>0.018</v>
      </c>
      <c r="C9" s="24">
        <f>'2. Assumptions'!$B$16*B9</f>
        <v/>
      </c>
      <c r="D9" s="24">
        <f>C9*(1-'2. Assumptions'!$B$7)</f>
        <v/>
      </c>
      <c r="E9" s="16">
        <f>C9*'2. Assumptions'!$B$26</f>
        <v/>
      </c>
      <c r="F9" s="16">
        <f>E9*('2. Assumptions'!$B$12-'2. Assumptions'!$B$13)/'2. Assumptions'!$B$12</f>
        <v/>
      </c>
      <c r="G9" s="16">
        <f>C9*('2. Assumptions'!$B$26/'2. Assumptions'!$B$12)*(1-(1+'2. Assumptions'!$B$11)^-('2. Assumptions'!$B$12-'2. Assumptions'!$B$13))/'2. Assumptions'!$B$11</f>
        <v/>
      </c>
      <c r="H9" s="16">
        <f>D9*('2. Assumptions'!$B$25-'2. Assumptions'!$B$5)</f>
        <v/>
      </c>
    </row>
    <row r="11">
      <c r="A11" s="25" t="inlineStr">
        <is>
          <t>Split by upper-tier authority, at 4% prevalence</t>
        </is>
      </c>
    </row>
    <row r="12" ht="40" customHeight="1">
      <c r="A12" s="26" t="inlineStr">
        <is>
          <t>Authority</t>
        </is>
      </c>
      <c r="B12" s="26" t="inlineStr">
        <is>
          <t>Residents aged 18</t>
        </is>
      </c>
      <c r="C12" s="26" t="inlineStr">
        <is>
          <t>With FASD</t>
        </is>
      </c>
      <c r="D12" s="26" t="inlineStr">
        <is>
          <t>Likely undiagnosed</t>
        </is>
      </c>
      <c r="E12" s="26" t="inlineStr">
        <is>
          <t>Full lifetime societal cost (£)</t>
        </is>
      </c>
      <c r="F12" s="26" t="inlineStr">
        <is>
          <t>Post-18 present value at 3.5% (£)</t>
        </is>
      </c>
    </row>
    <row r="13">
      <c r="A13" t="inlineStr">
        <is>
          <t>Cambridgeshire (E10000003)</t>
        </is>
      </c>
      <c r="B13" s="24">
        <f>'2. Assumptions'!$B$14</f>
        <v/>
      </c>
      <c r="C13" s="24">
        <f>B13*'2. Assumptions'!$B$8</f>
        <v/>
      </c>
      <c r="D13" s="24">
        <f>C13*(1-'2. Assumptions'!$B$7)</f>
        <v/>
      </c>
      <c r="E13" s="16">
        <f>C13*'2. Assumptions'!$B$26</f>
        <v/>
      </c>
      <c r="F13" s="16">
        <f>C13*('2. Assumptions'!$B$26/'2. Assumptions'!$B$12)*(1-(1+'2. Assumptions'!$B$11)^-('2. Assumptions'!$B$12-'2. Assumptions'!$B$13))/'2. Assumptions'!$B$11</f>
        <v/>
      </c>
    </row>
    <row r="14">
      <c r="A14" t="inlineStr">
        <is>
          <t>Peterborough (E06000031)</t>
        </is>
      </c>
      <c r="B14" s="24">
        <f>'2. Assumptions'!$B$15</f>
        <v/>
      </c>
      <c r="C14" s="24">
        <f>B14*'2. Assumptions'!$B$8</f>
        <v/>
      </c>
      <c r="D14" s="24">
        <f>C14*(1-'2. Assumptions'!$B$7)</f>
        <v/>
      </c>
      <c r="E14" s="16">
        <f>C14*'2. Assumptions'!$B$26</f>
        <v/>
      </c>
      <c r="F14" s="16">
        <f>C14*('2. Assumptions'!$B$26/'2. Assumptions'!$B$12)*(1-(1+'2. Assumptions'!$B$11)^-('2. Assumptions'!$B$12-'2. Assumptions'!$B$13))/'2. Assumptions'!$B$11</f>
        <v/>
      </c>
    </row>
    <row r="15">
      <c r="A15" s="17" t="inlineStr">
        <is>
          <t>COMBINED</t>
        </is>
      </c>
      <c r="B15" s="27">
        <f>'2. Assumptions'!$B$16</f>
        <v/>
      </c>
      <c r="C15" s="27">
        <f>B15*'2. Assumptions'!$B$8</f>
        <v/>
      </c>
      <c r="D15" s="27">
        <f>C15*(1-'2. Assumptions'!$B$7)</f>
        <v/>
      </c>
      <c r="E15" s="19">
        <f>C15*'2. Assumptions'!$B$26</f>
        <v/>
      </c>
      <c r="F15" s="19">
        <f>C15*('2. Assumptions'!$B$26/'2. Assumptions'!$B$12)*(1-(1+'2. Assumptions'!$B$11)^-('2. Assumptions'!$B$12-'2. Assumptions'!$B$13))/'2. Assumptions'!$B$11</f>
        <v/>
      </c>
    </row>
    <row r="17">
      <c r="A17" s="25" t="inlineStr">
        <is>
          <t>Wider comparison: whole 0-17 population (196,138 across both authorities)</t>
        </is>
      </c>
    </row>
    <row r="18" ht="40" customHeight="1">
      <c r="A18" s="26" t="inlineStr">
        <is>
          <t>Prevalence</t>
        </is>
      </c>
      <c r="B18" s="26" t="inlineStr">
        <is>
          <t>Children &amp; young people with FASD</t>
        </is>
      </c>
      <c r="C18" s="26" t="inlineStr">
        <is>
          <t>Full lifetime societal cost (£)</t>
        </is>
      </c>
    </row>
    <row r="19">
      <c r="A19" s="15" t="n">
        <v>0.04</v>
      </c>
      <c r="B19" s="24">
        <f>'2. Assumptions'!$B$19*A19</f>
        <v/>
      </c>
      <c r="C19" s="16">
        <f>B19*'2. Assumptions'!$B$26</f>
        <v/>
      </c>
    </row>
    <row r="20">
      <c r="A20" s="15" t="n">
        <v>0.036</v>
      </c>
      <c r="B20" s="24">
        <f>'2. Assumptions'!$B$19*A20</f>
        <v/>
      </c>
      <c r="C20" s="16">
        <f>B20*'2. Assumptions'!$B$26</f>
        <v/>
      </c>
    </row>
    <row r="21">
      <c r="A21" s="15" t="n">
        <v>0.03</v>
      </c>
      <c r="B21" s="24">
        <f>'2. Assumptions'!$B$19*A21</f>
        <v/>
      </c>
      <c r="C21" s="16">
        <f>B21*'2. Assumptions'!$B$26</f>
        <v/>
      </c>
    </row>
    <row r="22">
      <c r="A22" s="15" t="n">
        <v>0.027</v>
      </c>
      <c r="B22" s="24">
        <f>'2. Assumptions'!$B$19*A22</f>
        <v/>
      </c>
      <c r="C22" s="16">
        <f>B22*'2. Assumptions'!$B$26</f>
        <v/>
      </c>
    </row>
    <row r="23">
      <c r="A23" s="15" t="n">
        <v>0.018</v>
      </c>
      <c r="B23" s="24">
        <f>'2. Assumptions'!$B$19*A23</f>
        <v/>
      </c>
      <c r="C23" s="16">
        <f>B23*'2. Assumptions'!$B$26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27" customWidth="1" min="3" max="3"/>
    <col width="30" customWidth="1" min="4" max="4"/>
    <col width="52" customWidth="1" min="5" max="5"/>
  </cols>
  <sheetData>
    <row r="1">
      <c r="A1" s="1" t="inlineStr">
        <is>
          <t>The local evidence: FASD in children in care</t>
        </is>
      </c>
    </row>
    <row r="2">
      <c r="A2" s="2" t="inlineStr">
        <is>
          <t>Peterborough is one of very few places in England with its own published FASD finding. Gregory, Reddy &amp; Young (2015) identified FASD in 27% of children in care.</t>
        </is>
      </c>
    </row>
    <row r="4" ht="30" customHeight="1">
      <c r="A4" s="3" t="inlineStr">
        <is>
          <t>Authority</t>
        </is>
      </c>
      <c r="B4" s="3" t="inlineStr">
        <is>
          <t>Children in care</t>
        </is>
      </c>
      <c r="C4" s="3" t="inlineStr">
        <is>
          <t>At 27% (Peterborough study)</t>
        </is>
      </c>
      <c r="D4" s="3" t="inlineStr">
        <is>
          <t>Projected lifetime societal cost (£)</t>
        </is>
      </c>
      <c r="E4" s="3" t="inlineStr">
        <is>
          <t>Source of the care population figure</t>
        </is>
      </c>
    </row>
    <row r="5">
      <c r="A5" t="inlineStr">
        <is>
          <t>Peterborough</t>
        </is>
      </c>
      <c r="B5" s="24">
        <f>'2. Assumptions'!$B$21</f>
        <v/>
      </c>
      <c r="C5" s="24">
        <f>B5*'2. Assumptions'!$B$23</f>
        <v/>
      </c>
      <c r="D5" s="16">
        <f>C5*'2. Assumptions'!$B$26</f>
        <v/>
      </c>
      <c r="E5" s="7" t="inlineStr">
        <is>
          <t>Peterborough Virtual School Annual Report 2024-25, snapshot at 31 March 2025</t>
        </is>
      </c>
    </row>
    <row r="6">
      <c r="A6" t="inlineStr">
        <is>
          <t>Cambridgeshire</t>
        </is>
      </c>
      <c r="B6" s="24">
        <f>'2. Assumptions'!$B$22</f>
        <v/>
      </c>
      <c r="C6" s="24">
        <f>B6*'2. Assumptions'!$B$23</f>
        <v/>
      </c>
      <c r="D6" s="16">
        <f>C6*'2. Assumptions'!$B$26</f>
        <v/>
      </c>
      <c r="E6" s="7" t="inlineStr">
        <is>
          <t>Cambridgeshire &amp; Peterborough CYP JSNA 2024, reporting the 2022/23 figure</t>
        </is>
      </c>
    </row>
    <row r="7">
      <c r="A7" s="20" t="inlineStr">
        <is>
          <t>COMBINED</t>
        </is>
      </c>
      <c r="B7" s="22">
        <f>B5+B6</f>
        <v/>
      </c>
      <c r="C7" s="22">
        <f>B7*'2. Assumptions'!$B$23</f>
        <v/>
      </c>
      <c r="D7" s="23">
        <f>C7*'2. Assumptions'!$B$26</f>
        <v/>
      </c>
      <c r="E7" s="28" t="inlineStr">
        <is>
          <t>Sum of the two authorities - note the two figures are from different years</t>
        </is>
      </c>
    </row>
    <row r="10">
      <c r="A10" s="25" t="inlineStr">
        <is>
          <t>Notes on using these figures</t>
        </is>
      </c>
    </row>
    <row r="11" ht="42" customHeight="1">
      <c r="A11" s="29" t="inlineStr">
        <is>
          <t>Why this matters</t>
        </is>
      </c>
      <c r="B11" s="5" t="inlineStr">
        <is>
          <t>The 27% figure is a local finding, not a borrowed one. Peterborough City Council's own SEND Forum (May 2025) applies it to its children in care, giving 114 children with FASD.</t>
        </is>
      </c>
    </row>
    <row r="12" ht="42" customHeight="1">
      <c r="A12" s="29" t="inlineStr">
        <is>
          <t>The adoption finding</t>
        </is>
      </c>
      <c r="B12" s="5" t="inlineStr">
        <is>
          <t>The same Peterborough work found prenatal alcohol exposure in 75% of children assessed at adoption medicals - which is why exposure should be asked about and recorded as standard.</t>
        </is>
      </c>
    </row>
    <row r="13" ht="42" customHeight="1">
      <c r="A13" s="29" t="inlineStr">
        <is>
          <t>The hidden majority</t>
        </is>
      </c>
      <c r="B13" s="5" t="inlineStr">
        <is>
          <t>Care-experienced children are the visible minority. The Cost of Inaction on FASD estimates around 90% of children with FASD in the UK live with their birth families, and are the least likely to be identified.</t>
        </is>
      </c>
    </row>
    <row r="14" ht="42" customHeight="1">
      <c r="A14" s="29" t="inlineStr">
        <is>
          <t>A caution on scale</t>
        </is>
      </c>
      <c r="B14" s="5" t="inlineStr">
        <is>
          <t>Do not add the children-in-care estimate to the general-population estimate. Children in care are a subset of the 0-17 population already counted at 1.8-4%; a higher rate applies within that subset.</t>
        </is>
      </c>
    </row>
  </sheetData>
  <mergeCells count="4">
    <mergeCell ref="B12:E12"/>
    <mergeCell ref="B11:E11"/>
    <mergeCell ref="B13:E13"/>
    <mergeCell ref="B14:E1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10" customWidth="1" min="3" max="3"/>
    <col width="24" customWidth="1" min="4" max="4"/>
    <col width="70" customWidth="1" min="5" max="5"/>
  </cols>
  <sheetData>
    <row r="1">
      <c r="A1" s="1" t="inlineStr">
        <is>
          <t>Where the demand lands - 18-year-old cohort at 4% prevalence</t>
        </is>
      </c>
    </row>
    <row r="2">
      <c r="A2" s="2" t="inlineStr">
        <is>
          <t>Lifetime sector costs for the ~449 young people with FASD in the current 18-year-old cohort across Cambridgeshire and Peterborough.</t>
        </is>
      </c>
    </row>
    <row r="4" ht="30" customHeight="1">
      <c r="A4" s="3" t="inlineStr">
        <is>
          <t>Service sector</t>
        </is>
      </c>
      <c r="B4" s="3" t="inlineStr">
        <is>
          <t>Lifetime cost for the cohort (£)</t>
        </is>
      </c>
      <c r="C4" s="3" t="inlineStr">
        <is>
          <t>Share</t>
        </is>
      </c>
      <c r="D4" s="3" t="inlineStr">
        <is>
          <t>Post-18 present value (£)</t>
        </is>
      </c>
      <c r="E4" s="3" t="inlineStr">
        <is>
          <t>Local services likely to see rising demand</t>
        </is>
      </c>
    </row>
    <row r="5" ht="46" customHeight="1">
      <c r="A5" t="inlineStr">
        <is>
          <t>Lost productivity</t>
        </is>
      </c>
      <c r="B5" s="16">
        <f>'2. Assumptions'!$B$16*'2. Assumptions'!$B$8*('2. Assumptions'!$B$7*123372+(1-'2. Assumptions'!$B$7)*123372*(1+'2. Assumptions'!$B$6))</f>
        <v/>
      </c>
      <c r="C5" s="15">
        <f>B5/SUM($B$5:$B$10)</f>
        <v/>
      </c>
      <c r="D5" s="16">
        <f>B5*('2. Assumptions'!$B$12-'2. Assumptions'!$B$13)/'2. Assumptions'!$B$12*((1-(1+'2. Assumptions'!$B$11)^-('2. Assumptions'!$B$12-'2. Assumptions'!$B$13))/'2. Assumptions'!$B$11)/('2. Assumptions'!$B$12-'2. Assumptions'!$B$13)</f>
        <v/>
      </c>
      <c r="E5" s="7" t="inlineStr">
        <is>
          <t>DWP and Jobcentre Plus, supported employment and supported internships, Cambridgeshire and Peterborough adult skills and FE provision, Combined Authority skills programmes</t>
        </is>
      </c>
    </row>
    <row r="6" ht="46" customHeight="1">
      <c r="A6" t="inlineStr">
        <is>
          <t>Social services &amp; out-of-home care</t>
        </is>
      </c>
      <c r="B6" s="16">
        <f>'2. Assumptions'!$B$16*'2. Assumptions'!$B$8*('2. Assumptions'!$B$7*74023+(1-'2. Assumptions'!$B$7)*74023*(1+'2. Assumptions'!$B$6))</f>
        <v/>
      </c>
      <c r="C6" s="15">
        <f>B6/SUM($B$5:$B$10)</f>
        <v/>
      </c>
      <c r="D6" s="16">
        <f>B6*('2. Assumptions'!$B$12-'2. Assumptions'!$B$13)/'2. Assumptions'!$B$12*((1-(1+'2. Assumptions'!$B$11)^-('2. Assumptions'!$B$12-'2. Assumptions'!$B$13))/'2. Assumptions'!$B$11)/('2. Assumptions'!$B$12-'2. Assumptions'!$B$13)</f>
        <v/>
      </c>
      <c r="E6" s="7" t="inlineStr">
        <is>
          <t>Adult social care transitions teams at both councils, care-leaver and kinship support, safeguarding of vulnerable adults, semi-independent and supported living placements</t>
        </is>
      </c>
    </row>
    <row r="7" ht="46" customHeight="1">
      <c r="A7" t="inlineStr">
        <is>
          <t>Special education &amp; SEND</t>
        </is>
      </c>
      <c r="B7" s="16">
        <f>'2. Assumptions'!$B$16*'2. Assumptions'!$B$8*('2. Assumptions'!$B$7*61686+(1-'2. Assumptions'!$B$7)*61686*(1+'2. Assumptions'!$B$6))</f>
        <v/>
      </c>
      <c r="C7" s="15">
        <f>B7/SUM($B$5:$B$10)</f>
        <v/>
      </c>
      <c r="D7" s="16">
        <f>B7*('2. Assumptions'!$B$12-'2. Assumptions'!$B$13)/'2. Assumptions'!$B$12*((1-(1+'2. Assumptions'!$B$11)^-('2. Assumptions'!$B$12-'2. Assumptions'!$B$13))/'2. Assumptions'!$B$11)/('2. Assumptions'!$B$12-'2. Assumptions'!$B$13)</f>
        <v/>
      </c>
      <c r="E7" s="7" t="inlineStr">
        <is>
          <t>EHCP maintenance to age 25, Peterborough and Cambridgeshire FE and sixth-form SEND provision, SENDIASS Peterborough &amp; Cambridgeshire casework, tribunal appeals</t>
        </is>
      </c>
    </row>
    <row r="8" ht="46" customHeight="1">
      <c r="A8" t="inlineStr">
        <is>
          <t>Healthcare</t>
        </is>
      </c>
      <c r="B8" s="16">
        <f>'2. Assumptions'!$B$16*'2. Assumptions'!$B$8*('2. Assumptions'!$B$7*51405+(1-'2. Assumptions'!$B$7)*51405*(1+'2. Assumptions'!$B$6))</f>
        <v/>
      </c>
      <c r="C8" s="15">
        <f>B8/SUM($B$5:$B$10)</f>
        <v/>
      </c>
      <c r="D8" s="16">
        <f>B8*('2. Assumptions'!$B$12-'2. Assumptions'!$B$13)/'2. Assumptions'!$B$12*((1-(1+'2. Assumptions'!$B$11)^-('2. Assumptions'!$B$12-'2. Assumptions'!$B$13))/'2. Assumptions'!$B$11)/('2. Assumptions'!$B$12-'2. Assumptions'!$B$13)</f>
        <v/>
      </c>
      <c r="E8" s="7" t="inlineStr">
        <is>
          <t>CPFT adult mental health and CAMHS-to-adult transition, the Cambridgeshire and Peterborough neurodevelopmental pathways, primary care, CGL Aspire substance-use services</t>
        </is>
      </c>
    </row>
    <row r="9" ht="46" customHeight="1">
      <c r="A9" t="inlineStr">
        <is>
          <t>Criminal justice</t>
        </is>
      </c>
      <c r="B9" s="16">
        <f>'2. Assumptions'!$B$16*'2. Assumptions'!$B$8*('2. Assumptions'!$B$7*32899+(1-'2. Assumptions'!$B$7)*32899*(1+'2. Assumptions'!$B$6))</f>
        <v/>
      </c>
      <c r="C9" s="15">
        <f>B9/SUM($B$5:$B$10)</f>
        <v/>
      </c>
      <c r="D9" s="16">
        <f>B9*('2. Assumptions'!$B$12-'2. Assumptions'!$B$13)/'2. Assumptions'!$B$12*((1-(1+'2. Assumptions'!$B$11)^-('2. Assumptions'!$B$12-'2. Assumptions'!$B$13))/'2. Assumptions'!$B$11)/('2. Assumptions'!$B$12-'2. Assumptions'!$B$13)</f>
        <v/>
      </c>
      <c r="E9" s="7" t="inlineStr">
        <is>
          <t>Youth-to-adult probation transition, police custody liaison and diversion, appropriate-adult and court intermediary provision</t>
        </is>
      </c>
    </row>
    <row r="10" ht="46" customHeight="1">
      <c r="A10" t="inlineStr">
        <is>
          <t>Housing, benefits &amp; family support</t>
        </is>
      </c>
      <c r="B10" s="16">
        <f>'2. Assumptions'!$B$16*'2. Assumptions'!$B$8*('2. Assumptions'!$B$7*16450+(1-'2. Assumptions'!$B$7)*16450*(1+'2. Assumptions'!$B$6))</f>
        <v/>
      </c>
      <c r="C10" s="15">
        <f>B10/SUM($B$5:$B$10)</f>
        <v/>
      </c>
      <c r="D10" s="16">
        <f>B10*('2. Assumptions'!$B$12-'2. Assumptions'!$B$13)/'2. Assumptions'!$B$12*((1-(1+'2. Assumptions'!$B$11)^-('2. Assumptions'!$B$12-'2. Assumptions'!$B$13))/'2. Assumptions'!$B$11)/('2. Assumptions'!$B$12-'2. Assumptions'!$B$13)</f>
        <v/>
      </c>
      <c r="E10" s="7" t="inlineStr">
        <is>
          <t>Housing options and homelessness prevention at both councils, tenancy sustainment, PIP and Universal Credit support, carer support and respite</t>
        </is>
      </c>
    </row>
    <row r="11">
      <c r="A11" s="17" t="inlineStr">
        <is>
          <t>TOTAL</t>
        </is>
      </c>
      <c r="B11" s="19">
        <f>SUM(B5:B10)</f>
        <v/>
      </c>
      <c r="C11" s="18">
        <f>SUM(C5:C10)</f>
        <v/>
      </c>
      <c r="D11" s="19">
        <f>SUM(D5:D10)</f>
        <v/>
      </c>
      <c r="E11" s="30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Sensitivity - lifetime cost of the Cambridgeshire &amp; Peterborough 18-year-old cohort (£m)</t>
        </is>
      </c>
    </row>
    <row r="2">
      <c r="A2" s="2" t="inlineStr">
        <is>
          <t>Rows: prevalence. Columns: assumed diagnosis rate. Green Book discounting not applied (full lifetime, undiscounted).</t>
        </is>
      </c>
    </row>
    <row r="4" ht="30" customHeight="1">
      <c r="A4" s="3" t="inlineStr">
        <is>
          <t>Prevalence \ diagnosis rate</t>
        </is>
      </c>
      <c r="B4" s="31" t="n">
        <v>0.05</v>
      </c>
      <c r="C4" s="31" t="n">
        <v>0.1</v>
      </c>
      <c r="D4" s="31" t="n">
        <v>0.2</v>
      </c>
      <c r="E4" s="31" t="n">
        <v>0.35</v>
      </c>
      <c r="F4" s="31" t="n">
        <v>0.5</v>
      </c>
    </row>
    <row r="5">
      <c r="A5" s="32" t="n">
        <v>0.01</v>
      </c>
      <c r="B5" s="33">
        <f>'2. Assumptions'!$B$16*$A5*(B$4*'2. Assumptions'!$B$5+(1-B$4)*'2. Assumptions'!$B$25)/1000000</f>
        <v/>
      </c>
      <c r="C5" s="33">
        <f>'2. Assumptions'!$B$16*$A5*(C$4*'2. Assumptions'!$B$5+(1-C$4)*'2. Assumptions'!$B$25)/1000000</f>
        <v/>
      </c>
      <c r="D5" s="33">
        <f>'2. Assumptions'!$B$16*$A5*(D$4*'2. Assumptions'!$B$5+(1-D$4)*'2. Assumptions'!$B$25)/1000000</f>
        <v/>
      </c>
      <c r="E5" s="33">
        <f>'2. Assumptions'!$B$16*$A5*(E$4*'2. Assumptions'!$B$5+(1-E$4)*'2. Assumptions'!$B$25)/1000000</f>
        <v/>
      </c>
      <c r="F5" s="33">
        <f>'2. Assumptions'!$B$16*$A5*(F$4*'2. Assumptions'!$B$5+(1-F$4)*'2. Assumptions'!$B$25)/1000000</f>
        <v/>
      </c>
    </row>
    <row r="6">
      <c r="A6" s="32" t="n">
        <v>0.018</v>
      </c>
      <c r="B6" s="33">
        <f>'2. Assumptions'!$B$16*$A6*(B$4*'2. Assumptions'!$B$5+(1-B$4)*'2. Assumptions'!$B$25)/1000000</f>
        <v/>
      </c>
      <c r="C6" s="33">
        <f>'2. Assumptions'!$B$16*$A6*(C$4*'2. Assumptions'!$B$5+(1-C$4)*'2. Assumptions'!$B$25)/1000000</f>
        <v/>
      </c>
      <c r="D6" s="33">
        <f>'2. Assumptions'!$B$16*$A6*(D$4*'2. Assumptions'!$B$5+(1-D$4)*'2. Assumptions'!$B$25)/1000000</f>
        <v/>
      </c>
      <c r="E6" s="33">
        <f>'2. Assumptions'!$B$16*$A6*(E$4*'2. Assumptions'!$B$5+(1-E$4)*'2. Assumptions'!$B$25)/1000000</f>
        <v/>
      </c>
      <c r="F6" s="33">
        <f>'2. Assumptions'!$B$16*$A6*(F$4*'2. Assumptions'!$B$5+(1-F$4)*'2. Assumptions'!$B$25)/1000000</f>
        <v/>
      </c>
    </row>
    <row r="7">
      <c r="A7" s="32" t="n">
        <v>0.027</v>
      </c>
      <c r="B7" s="33">
        <f>'2. Assumptions'!$B$16*$A7*(B$4*'2. Assumptions'!$B$5+(1-B$4)*'2. Assumptions'!$B$25)/1000000</f>
        <v/>
      </c>
      <c r="C7" s="33">
        <f>'2. Assumptions'!$B$16*$A7*(C$4*'2. Assumptions'!$B$5+(1-C$4)*'2. Assumptions'!$B$25)/1000000</f>
        <v/>
      </c>
      <c r="D7" s="33">
        <f>'2. Assumptions'!$B$16*$A7*(D$4*'2. Assumptions'!$B$5+(1-D$4)*'2. Assumptions'!$B$25)/1000000</f>
        <v/>
      </c>
      <c r="E7" s="33">
        <f>'2. Assumptions'!$B$16*$A7*(E$4*'2. Assumptions'!$B$5+(1-E$4)*'2. Assumptions'!$B$25)/1000000</f>
        <v/>
      </c>
      <c r="F7" s="33">
        <f>'2. Assumptions'!$B$16*$A7*(F$4*'2. Assumptions'!$B$5+(1-F$4)*'2. Assumptions'!$B$25)/1000000</f>
        <v/>
      </c>
    </row>
    <row r="8">
      <c r="A8" s="32" t="n">
        <v>0.03</v>
      </c>
      <c r="B8" s="33">
        <f>'2. Assumptions'!$B$16*$A8*(B$4*'2. Assumptions'!$B$5+(1-B$4)*'2. Assumptions'!$B$25)/1000000</f>
        <v/>
      </c>
      <c r="C8" s="33">
        <f>'2. Assumptions'!$B$16*$A8*(C$4*'2. Assumptions'!$B$5+(1-C$4)*'2. Assumptions'!$B$25)/1000000</f>
        <v/>
      </c>
      <c r="D8" s="33">
        <f>'2. Assumptions'!$B$16*$A8*(D$4*'2. Assumptions'!$B$5+(1-D$4)*'2. Assumptions'!$B$25)/1000000</f>
        <v/>
      </c>
      <c r="E8" s="33">
        <f>'2. Assumptions'!$B$16*$A8*(E$4*'2. Assumptions'!$B$5+(1-E$4)*'2. Assumptions'!$B$25)/1000000</f>
        <v/>
      </c>
      <c r="F8" s="33">
        <f>'2. Assumptions'!$B$16*$A8*(F$4*'2. Assumptions'!$B$5+(1-F$4)*'2. Assumptions'!$B$25)/1000000</f>
        <v/>
      </c>
    </row>
    <row r="9">
      <c r="A9" s="32" t="n">
        <v>0.036</v>
      </c>
      <c r="B9" s="33">
        <f>'2. Assumptions'!$B$16*$A9*(B$4*'2. Assumptions'!$B$5+(1-B$4)*'2. Assumptions'!$B$25)/1000000</f>
        <v/>
      </c>
      <c r="C9" s="33">
        <f>'2. Assumptions'!$B$16*$A9*(C$4*'2. Assumptions'!$B$5+(1-C$4)*'2. Assumptions'!$B$25)/1000000</f>
        <v/>
      </c>
      <c r="D9" s="33">
        <f>'2. Assumptions'!$B$16*$A9*(D$4*'2. Assumptions'!$B$5+(1-D$4)*'2. Assumptions'!$B$25)/1000000</f>
        <v/>
      </c>
      <c r="E9" s="33">
        <f>'2. Assumptions'!$B$16*$A9*(E$4*'2. Assumptions'!$B$5+(1-E$4)*'2. Assumptions'!$B$25)/1000000</f>
        <v/>
      </c>
      <c r="F9" s="33">
        <f>'2. Assumptions'!$B$16*$A9*(F$4*'2. Assumptions'!$B$5+(1-F$4)*'2. Assumptions'!$B$25)/1000000</f>
        <v/>
      </c>
    </row>
    <row r="10">
      <c r="A10" s="32" t="n">
        <v>0.04</v>
      </c>
      <c r="B10" s="33">
        <f>'2. Assumptions'!$B$16*$A10*(B$4*'2. Assumptions'!$B$5+(1-B$4)*'2. Assumptions'!$B$25)/1000000</f>
        <v/>
      </c>
      <c r="C10" s="34">
        <f>'2. Assumptions'!$B$16*$A10*(C$4*'2. Assumptions'!$B$5+(1-C$4)*'2. Assumptions'!$B$25)/1000000</f>
        <v/>
      </c>
      <c r="D10" s="33">
        <f>'2. Assumptions'!$B$16*$A10*(D$4*'2. Assumptions'!$B$5+(1-D$4)*'2. Assumptions'!$B$25)/1000000</f>
        <v/>
      </c>
      <c r="E10" s="33">
        <f>'2. Assumptions'!$B$16*$A10*(E$4*'2. Assumptions'!$B$5+(1-E$4)*'2. Assumptions'!$B$25)/1000000</f>
        <v/>
      </c>
      <c r="F10" s="33">
        <f>'2. Assumptions'!$B$16*$A10*(F$4*'2. Assumptions'!$B$5+(1-F$4)*'2. Assumptions'!$B$25)/1000000</f>
        <v/>
      </c>
    </row>
    <row r="11">
      <c r="A11" s="32" t="n">
        <v>0.05</v>
      </c>
      <c r="B11" s="33">
        <f>'2. Assumptions'!$B$16*$A11*(B$4*'2. Assumptions'!$B$5+(1-B$4)*'2. Assumptions'!$B$25)/1000000</f>
        <v/>
      </c>
      <c r="C11" s="33">
        <f>'2. Assumptions'!$B$16*$A11*(C$4*'2. Assumptions'!$B$5+(1-C$4)*'2. Assumptions'!$B$25)/1000000</f>
        <v/>
      </c>
      <c r="D11" s="33">
        <f>'2. Assumptions'!$B$16*$A11*(D$4*'2. Assumptions'!$B$5+(1-D$4)*'2. Assumptions'!$B$25)/1000000</f>
        <v/>
      </c>
      <c r="E11" s="33">
        <f>'2. Assumptions'!$B$16*$A11*(E$4*'2. Assumptions'!$B$5+(1-E$4)*'2. Assumptions'!$B$25)/1000000</f>
        <v/>
      </c>
      <c r="F11" s="33">
        <f>'2. Assumptions'!$B$16*$A11*(F$4*'2. Assumptions'!$B$5+(1-F$4)*'2. Assumptions'!$B$25)/1000000</f>
        <v/>
      </c>
    </row>
    <row r="13">
      <c r="A13" s="2" t="inlineStr">
        <is>
          <t>Highlighted cell = headline scenario used in the fact sheet (4% prevalence, 10% diagnosis rate).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2" customWidth="1" min="1" max="1"/>
    <col width="78" customWidth="1" min="2" max="2"/>
  </cols>
  <sheetData>
    <row r="1">
      <c r="A1" s="1" t="inlineStr">
        <is>
          <t>Sources</t>
        </is>
      </c>
    </row>
    <row r="2">
      <c r="A2" s="2" t="inlineStr">
        <is>
          <t>Full references for every figure used in this model.</t>
        </is>
      </c>
    </row>
    <row r="4" ht="30" customHeight="1">
      <c r="A4" s="3" t="inlineStr">
        <is>
          <t>Source</t>
        </is>
      </c>
      <c r="B4" s="3" t="inlineStr">
        <is>
          <t>URL</t>
        </is>
      </c>
    </row>
    <row r="5" ht="30" customHeight="1">
      <c r="A5" s="5" t="inlineStr">
        <is>
          <t>National FASD (2026). The Cost of Inaction on FASD. The National Organisation for FASD, June 2026.</t>
        </is>
      </c>
      <c r="B5" s="35" t="inlineStr">
        <is>
          <t>https://nationalfasd.org.uk/the-cost-of-inaction-on-fasd/</t>
        </is>
      </c>
    </row>
    <row r="6" ht="30" customHeight="1">
      <c r="A6" s="5" t="inlineStr">
        <is>
          <t>McCarthy, R. et al. (2021). Prevalence of FASD in Greater Manchester, UK: an active case ascertainment study.</t>
        </is>
      </c>
      <c r="B6" s="35" t="inlineStr">
        <is>
          <t>https://pmc.ncbi.nlm.nih.gov/articles/PMC9292152/</t>
        </is>
      </c>
    </row>
    <row r="7" ht="30" customHeight="1">
      <c r="A7" s="5" t="inlineStr">
        <is>
          <t>Greenmyer, J.R. et al. (2018). A Multicountry Updated Assessment of the Economic Impact of FASD.</t>
        </is>
      </c>
      <c r="B7" s="35" t="inlineStr">
        <is>
          <t>https://pubmed.ncbi.nlm.nih.gov/30383615/</t>
        </is>
      </c>
    </row>
    <row r="8" ht="30" customHeight="1">
      <c r="A8" s="5" t="inlineStr">
        <is>
          <t>Gregory, G., Reddy, V. &amp; Young, C. (2015). Identifying children who are at risk of FASD in Peterborough. Adoption &amp; Fostering. Summarised by National FASD.</t>
        </is>
      </c>
      <c r="B8" s="35" t="inlineStr">
        <is>
          <t>https://nationalfasd.org.uk/learn-more/practitioners/social-care-workers/</t>
        </is>
      </c>
    </row>
    <row r="9" ht="30" customHeight="1">
      <c r="A9" s="5" t="inlineStr">
        <is>
          <t>DHSC / OHID (2021). Fetal alcohol spectrum disorder: health needs assessment.</t>
        </is>
      </c>
      <c r="B9" s="35" t="inlineStr">
        <is>
          <t>https://www.gov.uk/government/publications/fetal-alcohol-spectrum-disorder-health-needs-assessment/fetal-alcohol-spectrum-disorder-health-needs-assessment</t>
        </is>
      </c>
    </row>
    <row r="10" ht="30" customHeight="1">
      <c r="A10" s="5" t="inlineStr">
        <is>
          <t>Cambridgeshire &amp; Peterborough Children and Young People JSNA (2024) - FASD, children in need and children in care sections.</t>
        </is>
      </c>
      <c r="B10" s="35" t="inlineStr">
        <is>
          <t>https://cambridgeshireinsight.org.uk/2024-cyp-jsna/</t>
        </is>
      </c>
    </row>
    <row r="11" ht="30" customHeight="1">
      <c r="A11" s="5" t="inlineStr">
        <is>
          <t>Peterborough City Council SEND Forum, FASD presentation, 8 May 2025 (422 children in care, 27% = 114 with FASD).</t>
        </is>
      </c>
      <c r="B11" s="35" t="inlineStr">
        <is>
          <t>https://learntogether.peterborough.gov.uk/asset-library/fasd-pcc-send-forum-08.05.25.pdf</t>
        </is>
      </c>
    </row>
    <row r="12" ht="30" customHeight="1">
      <c r="A12" s="5" t="inlineStr">
        <is>
          <t>Peterborough Virtual School Annual Report 2024-25 (422 children in care on roll at 31 March 2025).</t>
        </is>
      </c>
      <c r="B12" s="35" t="inlineStr">
        <is>
          <t>https://learntogether.peterborough.gov.uk/asset-library/virtual-school-annual-report-2024-25.pdf</t>
        </is>
      </c>
    </row>
    <row r="13" ht="30" customHeight="1">
      <c r="A13" s="5" t="inlineStr">
        <is>
          <t>ONS mid-2025 population estimates for Cambridgeshire (E10000003) and Peterborough (E06000031), accessed via Nomis.</t>
        </is>
      </c>
      <c r="B13" s="35" t="inlineStr">
        <is>
          <t>https://www.nomisweb.co.uk/</t>
        </is>
      </c>
    </row>
    <row r="14" ht="30" customHeight="1">
      <c r="A14" s="5" t="inlineStr">
        <is>
          <t>HM Treasury. The Green Book: appraisal and evaluation in central government (3.5% STPR).</t>
        </is>
      </c>
      <c r="B14" s="35" t="inlineStr">
        <is>
          <t>https://www.gov.uk/government/publications/the-green-book-appraisal-and-evaluation-in-central-governent</t>
        </is>
      </c>
    </row>
    <row r="15" ht="30" customHeight="1">
      <c r="A15" s="5" t="inlineStr">
        <is>
          <t>Pinpoint Cambridgeshire - Fetal Alcohol Spectrum Disorder information and local support group listing.</t>
        </is>
      </c>
      <c r="B15" s="35" t="inlineStr">
        <is>
          <t>https://www.pinpoint-cambs.org.uk/information-hub/your-childs-needs/fetal-alcohol-spectrum-disorder/</t>
        </is>
      </c>
    </row>
    <row r="16" ht="30" customHeight="1">
      <c r="A16" s="5" t="inlineStr">
        <is>
          <t>Peterborough &amp; Cambridgeshire Family FASD Support Group (Facebook group).</t>
        </is>
      </c>
      <c r="B16" s="35" t="inlineStr">
        <is>
          <t>https://www.facebook.com/groups/1320037864718272</t>
        </is>
      </c>
    </row>
    <row r="18">
      <c r="A18" s="2" t="inlineStr">
        <is>
          <t>This workbook was created with the help of Perplexity AI for the Peterborough &amp; Cambridgeshire Family FASD Support Group, September 2026.</t>
        </is>
      </c>
    </row>
  </sheetData>
  <hyperlinks>
    <hyperlink xmlns:r="http://schemas.openxmlformats.org/officeDocument/2006/relationships" ref="B5" r:id="rId1"/>
    <hyperlink xmlns:r="http://schemas.openxmlformats.org/officeDocument/2006/relationships" ref="B6" r:id="rId2"/>
    <hyperlink xmlns:r="http://schemas.openxmlformats.org/officeDocument/2006/relationships" ref="B7" r:id="rId3"/>
    <hyperlink xmlns:r="http://schemas.openxmlformats.org/officeDocument/2006/relationships" ref="B8" r:id="rId4"/>
    <hyperlink xmlns:r="http://schemas.openxmlformats.org/officeDocument/2006/relationships" ref="B9" r:id="rId5"/>
    <hyperlink xmlns:r="http://schemas.openxmlformats.org/officeDocument/2006/relationships" ref="B10" r:id="rId6"/>
    <hyperlink xmlns:r="http://schemas.openxmlformats.org/officeDocument/2006/relationships" ref="B11" r:id="rId7"/>
    <hyperlink xmlns:r="http://schemas.openxmlformats.org/officeDocument/2006/relationships" ref="B12" r:id="rId8"/>
    <hyperlink xmlns:r="http://schemas.openxmlformats.org/officeDocument/2006/relationships" ref="B13" r:id="rId9"/>
    <hyperlink xmlns:r="http://schemas.openxmlformats.org/officeDocument/2006/relationships" ref="B14" r:id="rId10"/>
    <hyperlink xmlns:r="http://schemas.openxmlformats.org/officeDocument/2006/relationships" ref="B15" r:id="rId11"/>
    <hyperlink xmlns:r="http://schemas.openxmlformats.org/officeDocument/2006/relationships" ref="B16" r:id="rId1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2026-09-01T13:59:34Z</dcterms:created>
  <dcterms:modified xmlns:dcterms="http://purl.org/dc/terms/" xmlns:xsi="http://www.w3.org/2001/XMLSchema-instance" xsi:type="dcterms:W3CDTF">2026-09-01T13:59:34Z</dcterms:modified>
</cp:coreProperties>
</file>