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1. Read me" sheetId="1" state="visible" r:id="rId3"/>
    <sheet name="2. Assumptions" sheetId="2" state="visible" r:id="rId4"/>
    <sheet name="3. Cost components" sheetId="3" state="visible" r:id="rId5"/>
    <sheet name="4. Cohort model" sheetId="4" state="visible" r:id="rId6"/>
    <sheet name="5. Children in care" sheetId="5" state="visible" r:id="rId7"/>
    <sheet name="6. Sector demand" sheetId="6" state="visible" r:id="rId8"/>
    <sheet name="7. Sensitivity" sheetId="7" state="visible" r:id="rId9"/>
    <sheet name="8. Source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<sst xmlns="http://schemas.openxmlformats.org/spreadsheetml/2006/main" count="214" uniqueCount="186">
  <si>
    <t xml:space="preserve">Peterborough &amp; Cambridgeshire FASD economic impact model</t>
  </si>
  <si>
    <t xml:space="preserve">Peterborough &amp; Cambridgeshire Family FASD Support Group | September 2026 | Prepared for FASD Awareness Month</t>
  </si>
  <si>
    <t xml:space="preserve">Item</t>
  </si>
  <si>
    <t xml:space="preserve">Detail</t>
  </si>
  <si>
    <t xml:space="preserve">Purpose</t>
  </si>
  <si>
    <t xml:space="preserve">Applies the National FASD 'Cost of Inaction on FASD' (June 2026) UK cost model to the youth population of Cambridgeshire and Peterborough, at the 4% upper-bound prevalence from the Salford active case ascertainment study.</t>
  </si>
  <si>
    <t xml:space="preserve">Headline (4% prevalence)</t>
  </si>
  <si>
    <t xml:space="preserve">~449 of the 11,216 eighteen-year-olds across Cambridgeshire and Peterborough are likely to have FASD. Projected lifetime societal cost for that single year-group: ~£190 million (~£62 million present value still to be incurred from age 18 onward).</t>
  </si>
  <si>
    <t xml:space="preserve">Local evidence</t>
  </si>
  <si>
    <t xml:space="preserve">Peterborough is one of the few places in England with its own published FASD finding: Gregory, Reddy &amp; Young (2015) identified FASD in 27% of children in care, and prenatal alcohol exposure in 75% of children assessed at adoption medicals. Both figures are quoted in the DHSC/OHID FASD Health Needs Assessment (2021).</t>
  </si>
  <si>
    <t xml:space="preserve">Cost source</t>
  </si>
  <si>
    <t xml:space="preserve">National FASD, The Cost of Inaction on FASD, June 2026, Appendix A. Lifetime cost per diagnosed UK case £359,835; per undiagnosed case £431,802 (20% premium). Assumed diagnosis rate 10%. Blended cost per case £424,605.</t>
  </si>
  <si>
    <t xml:space="preserve">Cost derivation</t>
  </si>
  <si>
    <t xml:space="preserve">PPP-adjusted from Greenmyer et al. (2018) US estimate of $596,000 per case, using the two-step GDP PPP + healthcare-specific price ratio method of Shemilt et al. (BMJ, 2010). 2024 GBP.</t>
  </si>
  <si>
    <t xml:space="preserve">Prevalence source</t>
  </si>
  <si>
    <t xml:space="preserve">McCarthy et al. (2021), Salford / Greater Manchester active case ascertainment study: 1.8-4.2% of children in mainstream primary schools met criteria for FASD or possible FASD; none had been previously identified. 4% is the upper bound; 2.7% is the National FASD central case.</t>
  </si>
  <si>
    <t xml:space="preserve">Population source</t>
  </si>
  <si>
    <t xml:space="preserve">ONS mid-2025 population estimates via Nomis. Cambridgeshire (E10000003): age 18 = 8,305; ages 0-17 = 139,938; all ages = 716,983. Peterborough (E06000031): age 18 = 2,911; ages 0-17 = 56,200; all ages = 224,757.</t>
  </si>
  <si>
    <t xml:space="preserve">Local benchmark</t>
  </si>
  <si>
    <t xml:space="preserve">The Cambridgeshire &amp; Peterborough Children and Young People JSNA (2024) already applies a 3% FASD prevalence assumption locally, giving approximately 4,500 children in Cambridgeshire and 1,700 in Peterborough. This model runs 1.8%, 2.7%, 3.6% and 4.0% alongside that.</t>
  </si>
  <si>
    <t xml:space="preserve">Discounting</t>
  </si>
  <si>
    <t xml:space="preserve">HM Treasury Green Book Social Time Preference Rate of 3.5% applied to costs falling after age 18. Lifetime costs annualised over 75 years, per the National FASD model.</t>
  </si>
  <si>
    <t xml:space="preserve">How to cite</t>
  </si>
  <si>
    <t xml:space="preserve">Describe outputs as PPP-adjusted estimates derived from Greenmyer et al. (2018) via Shemilt et al. (2010), applied to ONS Cambridgeshire and Peterborough population estimates - not as primary local measurements.</t>
  </si>
  <si>
    <t xml:space="preserve">Prepared with</t>
  </si>
  <si>
    <t xml:space="preserve">Created with the help of Perplexity AI. All figures, formulas and sources were checked against the underlying publications listed on the Sources sheet.</t>
  </si>
  <si>
    <t xml:space="preserve">Key limitations</t>
  </si>
  <si>
    <t xml:space="preserve">No UK-native lifetime cost study exists; the 20% undiagnosed premium is a working assumption; caregiver and family costs are largely excluded, so figures understate the true burden; general-population FASD prevalence has never been measured in Cambridgeshire or Peterborough.</t>
  </si>
  <si>
    <t xml:space="preserve">Model inputs</t>
  </si>
  <si>
    <t xml:space="preserve">All inputs are editable - every downstream sheet recalculates by formula.</t>
  </si>
  <si>
    <t xml:space="preserve">Parameter</t>
  </si>
  <si>
    <t xml:space="preserve">Value</t>
  </si>
  <si>
    <t xml:space="preserve">Unit</t>
  </si>
  <si>
    <t xml:space="preserve">Source</t>
  </si>
  <si>
    <t xml:space="preserve">Lifetime cost per DIAGNOSED case</t>
  </si>
  <si>
    <t xml:space="preserve">£ (2024)</t>
  </si>
  <si>
    <t xml:space="preserve">National FASD Cost of Inaction 2026, App. A</t>
  </si>
  <si>
    <t xml:space="preserve">Undiagnosed cost premium</t>
  </si>
  <si>
    <t xml:space="preserve">proportion</t>
  </si>
  <si>
    <t xml:space="preserve">Assumed UK diagnosis rate</t>
  </si>
  <si>
    <t xml:space="preserve">National FASD; Salford found none previously identified</t>
  </si>
  <si>
    <t xml:space="preserve">Prevalence - headline</t>
  </si>
  <si>
    <t xml:space="preserve">McCarthy et al. 2021, upper bound</t>
  </si>
  <si>
    <t xml:space="preserve">Prevalence - central case</t>
  </si>
  <si>
    <t xml:space="preserve">National FASD central case (midpoint)</t>
  </si>
  <si>
    <t xml:space="preserve">Prevalence - lower bound</t>
  </si>
  <si>
    <t xml:space="preserve">McCarthy et al. 2021, lower bound</t>
  </si>
  <si>
    <t xml:space="preserve">Discount rate</t>
  </si>
  <si>
    <t xml:space="preserve">per annum</t>
  </si>
  <si>
    <t xml:space="preserve">HM Treasury Green Book STPR</t>
  </si>
  <si>
    <t xml:space="preserve">Assumed life expectancy horizon</t>
  </si>
  <si>
    <t xml:space="preserve">years</t>
  </si>
  <si>
    <t xml:space="preserve">National FASD model annualisation</t>
  </si>
  <si>
    <t xml:space="preserve">Cohort age</t>
  </si>
  <si>
    <t xml:space="preserve">Young people entering adulthood</t>
  </si>
  <si>
    <t xml:space="preserve">Cambridgeshire population age 18</t>
  </si>
  <si>
    <t xml:space="preserve">persons</t>
  </si>
  <si>
    <t xml:space="preserve">ONS mid-2025, Nomis (E10000003)</t>
  </si>
  <si>
    <t xml:space="preserve">Peterborough population age 18</t>
  </si>
  <si>
    <t xml:space="preserve">ONS mid-2025, Nomis (E06000031)</t>
  </si>
  <si>
    <t xml:space="preserve">COMBINED population age 18</t>
  </si>
  <si>
    <t xml:space="preserve">Sum of the two upper-tier authorities</t>
  </si>
  <si>
    <t xml:space="preserve">Cambridgeshire population age 0-17</t>
  </si>
  <si>
    <t xml:space="preserve">ONS mid-2025, Nomis</t>
  </si>
  <si>
    <t xml:space="preserve">Peterborough population age 0-17</t>
  </si>
  <si>
    <t xml:space="preserve">COMBINED population age 0-17</t>
  </si>
  <si>
    <t xml:space="preserve">COMBINED population all ages</t>
  </si>
  <si>
    <t xml:space="preserve">ONS mid-2025: 716,983 + 224,757</t>
  </si>
  <si>
    <t xml:space="preserve">Children in care - Peterborough</t>
  </si>
  <si>
    <t xml:space="preserve">children</t>
  </si>
  <si>
    <t xml:space="preserve">Peterborough Virtual School Annual Report 2024-25, 31 March 2025</t>
  </si>
  <si>
    <t xml:space="preserve">Children in care - Cambridgeshire</t>
  </si>
  <si>
    <t xml:space="preserve">Cambridgeshire &amp; Peterborough CYP JSNA 2024 (2022/23 figure)</t>
  </si>
  <si>
    <t xml:space="preserve">FASD prevalence in children in care</t>
  </si>
  <si>
    <t xml:space="preserve">Gregory, Reddy &amp; Young (2015), Peterborough; quoted in DHSC/OHID HNA 2021</t>
  </si>
  <si>
    <t xml:space="preserve">Prenatal alcohol exposure at adoption medicals</t>
  </si>
  <si>
    <t xml:space="preserve">Gregory, Reddy &amp; Young (2015), Peterborough</t>
  </si>
  <si>
    <t xml:space="preserve">Derived: lifetime cost per UNDIAGNOSED case</t>
  </si>
  <si>
    <t xml:space="preserve">Derived: blended cost per case (10% diagnosed)</t>
  </si>
  <si>
    <t xml:space="preserve">Lifetime cost per case by sector</t>
  </si>
  <si>
    <t xml:space="preserve">Component shares from National FASD Cost of Inaction 2026, Appendix A (PPP-adjusted from Greenmyer et al. 2018).</t>
  </si>
  <si>
    <t xml:space="preserve">Sector</t>
  </si>
  <si>
    <t xml:space="preserve">Share of lifetime cost</t>
  </si>
  <si>
    <t xml:space="preserve">Per diagnosed case (£)</t>
  </si>
  <si>
    <t xml:space="preserve">Per undiagnosed case (£)</t>
  </si>
  <si>
    <t xml:space="preserve">Blended per case (£)</t>
  </si>
  <si>
    <t xml:space="preserve">Lost productivity (foregone earnings, unemployment, underemployment)</t>
  </si>
  <si>
    <t xml:space="preserve">Social services &amp; out-of-home care</t>
  </si>
  <si>
    <t xml:space="preserve">Special education &amp; SEND</t>
  </si>
  <si>
    <t xml:space="preserve">Healthcare (NHS)</t>
  </si>
  <si>
    <t xml:space="preserve">Criminal justice</t>
  </si>
  <si>
    <t xml:space="preserve">Housing, benefits &amp; family support</t>
  </si>
  <si>
    <t xml:space="preserve">TOTAL</t>
  </si>
  <si>
    <t xml:space="preserve">Cambridgeshire &amp; Peterborough 18-year-old cohort - projected societal cost</t>
  </si>
  <si>
    <t xml:space="preserve">Prevalence scenarios applied to the 11,216 residents aged 18 across Cambridgeshire (8,305) and Peterborough (2,911). ONS mid-2025.</t>
  </si>
  <si>
    <t xml:space="preserve">Prevalence scenario</t>
  </si>
  <si>
    <t xml:space="preserve">Rate</t>
  </si>
  <si>
    <t xml:space="preserve">Young people with FASD in the cohort</t>
  </si>
  <si>
    <t xml:space="preserve">Likely undiagnosed</t>
  </si>
  <si>
    <t xml:space="preserve">Full lifetime societal cost (£)</t>
  </si>
  <si>
    <t xml:space="preserve">Cost still to fall after age 18, undiscounted (£)</t>
  </si>
  <si>
    <t xml:space="preserve">Present value of post-18 costs at 3.5% (£)</t>
  </si>
  <si>
    <t xml:space="preserve">Avoidable cost if all were identified &amp; supported (£)</t>
  </si>
  <si>
    <t xml:space="preserve">Upper bound - Salford ACA study (headline)</t>
  </si>
  <si>
    <t xml:space="preserve">Salford study midpoint of published range</t>
  </si>
  <si>
    <t xml:space="preserve">Local JSNA working assumption (3%)</t>
  </si>
  <si>
    <t xml:space="preserve">National FASD central case</t>
  </si>
  <si>
    <t xml:space="preserve">Lower bound - Salford ACA study</t>
  </si>
  <si>
    <t xml:space="preserve">Split by upper-tier authority, at 4% prevalence</t>
  </si>
  <si>
    <t xml:space="preserve">Authority</t>
  </si>
  <si>
    <t xml:space="preserve">Residents aged 18</t>
  </si>
  <si>
    <t xml:space="preserve">With FASD</t>
  </si>
  <si>
    <t xml:space="preserve">Post-18 present value at 3.5% (£)</t>
  </si>
  <si>
    <t xml:space="preserve">Cambridgeshire (E10000003)</t>
  </si>
  <si>
    <t xml:space="preserve">Peterborough (E06000031)</t>
  </si>
  <si>
    <t xml:space="preserve">COMBINED</t>
  </si>
  <si>
    <t xml:space="preserve">Wider comparison: whole 0-17 population (196,138 across both authorities)</t>
  </si>
  <si>
    <t xml:space="preserve">Prevalence</t>
  </si>
  <si>
    <t xml:space="preserve">Children &amp; young people with FASD</t>
  </si>
  <si>
    <t xml:space="preserve">The local evidence: FASD in children in care</t>
  </si>
  <si>
    <t xml:space="preserve">Peterborough is one of very few places in England with its own published FASD finding. Gregory, Reddy &amp; Young (2015) identified FASD in 27% of children in care.</t>
  </si>
  <si>
    <t xml:space="preserve">Children in care</t>
  </si>
  <si>
    <t xml:space="preserve">At 27% (Peterborough study)</t>
  </si>
  <si>
    <t xml:space="preserve">Projected lifetime societal cost (£)</t>
  </si>
  <si>
    <t xml:space="preserve">Source of the care population figure</t>
  </si>
  <si>
    <t xml:space="preserve">Peterborough</t>
  </si>
  <si>
    <t xml:space="preserve">Peterborough Virtual School Annual Report 2024-25, snapshot at 31 March 2025</t>
  </si>
  <si>
    <t xml:space="preserve">Cambridgeshire</t>
  </si>
  <si>
    <t xml:space="preserve">Cambridgeshire &amp; Peterborough CYP JSNA 2024, reporting the 2022/23 figure</t>
  </si>
  <si>
    <t xml:space="preserve">Sum of the two authorities - note the two figures are from different years</t>
  </si>
  <si>
    <t xml:space="preserve">Notes on using these figures</t>
  </si>
  <si>
    <t xml:space="preserve">Why this matters</t>
  </si>
  <si>
    <t xml:space="preserve">The 27% figure is a local finding, not a borrowed one. Peterborough City Council's own SEND Forum (May 2025) applies it to its children in care, giving 114 children with FASD.</t>
  </si>
  <si>
    <t xml:space="preserve">The adoption finding</t>
  </si>
  <si>
    <t xml:space="preserve">The same Peterborough work found prenatal alcohol exposure in 75% of children assessed at adoption medicals - which is why exposure should be asked about and recorded as standard.</t>
  </si>
  <si>
    <t xml:space="preserve">The hidden majority</t>
  </si>
  <si>
    <t xml:space="preserve">Care-experienced children are the visible minority. The Cost of Inaction on FASD estimates around 90% of children with FASD in the UK live with their birth families, and are the least likely to be identified.</t>
  </si>
  <si>
    <t xml:space="preserve">A caution on scale</t>
  </si>
  <si>
    <t xml:space="preserve">Do not add the children-in-care estimate to the general-population estimate. Children in care are a subset of the 0-17 population already counted at 1.8-4%; a higher rate applies within that subset.</t>
  </si>
  <si>
    <t xml:space="preserve">Where the demand lands - 18-year-old cohort at 4% prevalence</t>
  </si>
  <si>
    <t xml:space="preserve">Lifetime sector costs for the ~449 young people with FASD in the current 18-year-old cohort across Cambridgeshire and Peterborough.</t>
  </si>
  <si>
    <t xml:space="preserve">Service sector</t>
  </si>
  <si>
    <t xml:space="preserve">Lifetime cost for the cohort (£)</t>
  </si>
  <si>
    <t xml:space="preserve">Share</t>
  </si>
  <si>
    <t xml:space="preserve">Post-18 present value (£)</t>
  </si>
  <si>
    <t xml:space="preserve">Local services likely to see rising demand</t>
  </si>
  <si>
    <t xml:space="preserve">Lost productivity</t>
  </si>
  <si>
    <t xml:space="preserve">DWP and Jobcentre Plus, supported employment and supported internships, Cambridgeshire and Peterborough adult skills and FE provision, Combined Authority skills programmes</t>
  </si>
  <si>
    <t xml:space="preserve">Adult social care transitions teams at both councils, care-leaver and kinship support, safeguarding of vulnerable adults, semi-independent and supported living placements</t>
  </si>
  <si>
    <t xml:space="preserve">EHCP maintenance to age 25, Peterborough and Cambridgeshire FE and sixth-form SEND provision, SENDIASS Peterborough &amp; Cambridgeshire casework, tribunal appeals</t>
  </si>
  <si>
    <t xml:space="preserve">Healthcare</t>
  </si>
  <si>
    <t xml:space="preserve">CPFT adult mental health and CAMHS-to-adult transition, the Cambridgeshire and Peterborough neurodevelopmental pathways, primary care, CGL Aspire substance-use services</t>
  </si>
  <si>
    <t xml:space="preserve">Youth-to-adult probation transition, police custody liaison and diversion, appropriate-adult and court intermediary provision</t>
  </si>
  <si>
    <t xml:space="preserve">Housing options and homelessness prevention at both councils, tenancy sustainment, PIP and Universal Credit support, carer support and respite</t>
  </si>
  <si>
    <t xml:space="preserve">Sensitivity - lifetime cost of the Cambridgeshire &amp; Peterborough 18-year-old cohort (£m)</t>
  </si>
  <si>
    <t xml:space="preserve">Rows: prevalence. Columns: assumed diagnosis rate. Green Book discounting not applied (full lifetime, undiscounted).</t>
  </si>
  <si>
    <t xml:space="preserve">Prevalence \ diagnosis rate</t>
  </si>
  <si>
    <t xml:space="preserve">Highlighted cell = headline scenario used in the fact sheet (4% prevalence, 10% diagnosis rate).</t>
  </si>
  <si>
    <t xml:space="preserve">Sources</t>
  </si>
  <si>
    <t xml:space="preserve">Full references for every figure used in this model.</t>
  </si>
  <si>
    <t xml:space="preserve">URL</t>
  </si>
  <si>
    <t xml:space="preserve">National FASD (2026). The Cost of Inaction on FASD. The National Organisation for FASD, June 2026.</t>
  </si>
  <si>
    <t xml:space="preserve">https://nationalfasd.org.uk/the-cost-of-inaction-on-fasd/</t>
  </si>
  <si>
    <t xml:space="preserve">McCarthy, R. et al. (2021). Prevalence of FASD in Greater Manchester, UK: an active case ascertainment study.</t>
  </si>
  <si>
    <t xml:space="preserve">https://pmc.ncbi.nlm.nih.gov/articles/PMC9292152/</t>
  </si>
  <si>
    <t xml:space="preserve">Greenmyer, J.R. et al. (2018). A Multicountry Updated Assessment of the Economic Impact of FASD.</t>
  </si>
  <si>
    <t xml:space="preserve">https://pubmed.ncbi.nlm.nih.gov/30383615/</t>
  </si>
  <si>
    <t xml:space="preserve">Gregory, G., Reddy, V. &amp; Young, C. (2015). Identifying children who are at risk of FASD in Peterborough. Adoption &amp; Fostering. Summarised by National FASD.</t>
  </si>
  <si>
    <t xml:space="preserve">https://nationalfasd.org.uk/learn-more/practitioners/social-care-workers/</t>
  </si>
  <si>
    <t xml:space="preserve">DHSC / OHID (2021). Fetal alcohol spectrum disorder: health needs assessment.</t>
  </si>
  <si>
    <t xml:space="preserve">https://www.gov.uk/government/publications/fetal-alcohol-spectrum-disorder-health-needs-assessment/fetal-alcohol-spectrum-disorder-health-needs-assessment</t>
  </si>
  <si>
    <t xml:space="preserve">Cambridgeshire &amp; Peterborough Children and Young People JSNA (2024) - FASD, children in need and children in care sections.</t>
  </si>
  <si>
    <t xml:space="preserve">https://cambridgeshireinsight.org.uk/2024-cyp-jsna/</t>
  </si>
  <si>
    <t xml:space="preserve">Peterborough City Council SEND Forum, FASD presentation, 8 May 2025 (422 children in care, 27% = 114 with FASD).</t>
  </si>
  <si>
    <t xml:space="preserve">https://learntogether.peterborough.gov.uk/asset-library/fasd-pcc-send-forum-08.05.25.pdf</t>
  </si>
  <si>
    <t xml:space="preserve">Peterborough Virtual School Annual Report 2024-25 (422 children in care on roll at 31 March 2025).</t>
  </si>
  <si>
    <t xml:space="preserve">https://learntogether.peterborough.gov.uk/asset-library/virtual-school-annual-report-2024-25.pdf</t>
  </si>
  <si>
    <t xml:space="preserve">ONS mid-2025 population estimates for Cambridgeshire (E10000003) and Peterborough (E06000031), accessed via Nomis.</t>
  </si>
  <si>
    <t xml:space="preserve">https://www.nomisweb.co.uk/</t>
  </si>
  <si>
    <t xml:space="preserve">HM Treasury. The Green Book: appraisal and evaluation in central government (3.5% STPR).</t>
  </si>
  <si>
    <t xml:space="preserve">https://www.gov.uk/government/publications/the-green-book-appraisal-and-evaluation-in-central-governent</t>
  </si>
  <si>
    <t xml:space="preserve">Pinpoint Cambridgeshire - Fetal Alcohol Spectrum Disorder information and local support group listing.</t>
  </si>
  <si>
    <t xml:space="preserve">https://www.pinpoint-cambs.org.uk/information-hub/your-childs-needs/fetal-alcohol-spectrum-disorder/</t>
  </si>
  <si>
    <t xml:space="preserve">Peterborough &amp; Cambridgeshire Family FASD Support Group (Facebook group).</t>
  </si>
  <si>
    <t xml:space="preserve">https://www.facebook.com/groups/1320037864718272</t>
  </si>
  <si>
    <t xml:space="preserve">This workbook was created with the help of Perplexity AI for the Peterborough &amp; Cambridgeshire Family FASD Support Group, September 2026.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</si>
</sst>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£#,##0"/>
    <numFmt numFmtId="166" formatCode="0.0%"/>
    <numFmt numFmtId="167" formatCode="#,##0"/>
    <numFmt numFmtId="168" formatCode="0%"/>
    <numFmt numFmtId="169" formatCode="\£#,##0.0\m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2253A"/>
      <name val="Cambria"/>
      <family val="0"/>
      <charset val="1"/>
    </font>
    <font>
      <i val="true"/>
      <sz val="9"/>
      <color rgb="FF555555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color rgb="FF12253A"/>
      <name val="Cambria"/>
      <family val="0"/>
      <charset val="1"/>
    </font>
    <font>
      <b val="true"/>
      <sz val="11"/>
      <color rgb="FF12253A"/>
      <name val="Cambria"/>
      <family val="0"/>
      <charset val="1"/>
    </font>
    <font>
      <b val="true"/>
      <i val="true"/>
      <sz val="11"/>
      <color rgb="FFDE3C16"/>
      <name val="Cambria"/>
      <family val="0"/>
      <charset val="1"/>
    </font>
    <font>
      <b val="true"/>
      <sz val="11"/>
      <color rgb="FFDE3C16"/>
      <name val="Cambria"/>
      <family val="0"/>
      <charset val="1"/>
    </font>
    <font>
      <b val="true"/>
      <sz val="12"/>
      <color rgb="FF12253A"/>
      <name val="Cambria"/>
      <family val="0"/>
      <charset val="1"/>
    </font>
    <font>
      <u val="single"/>
      <sz val="9"/>
      <color rgb="FF0563C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2253A"/>
        <bgColor rgb="FF333333"/>
      </patternFill>
    </fill>
    <fill>
      <patternFill patternType="solid">
        <fgColor rgb="FFEAF6FA"/>
        <bgColor rgb="FFFDF4E4"/>
      </patternFill>
    </fill>
    <fill>
      <patternFill patternType="solid">
        <fgColor rgb="FFFDF4E4"/>
        <bgColor rgb="FFFFFFFF"/>
      </patternFill>
    </fill>
    <fill>
      <patternFill patternType="solid">
        <fgColor rgb="FF2AA1C4"/>
        <bgColor rgb="FF33CCCC"/>
      </patternFill>
    </fill>
    <fill>
      <patternFill patternType="solid">
        <fgColor rgb="FFE4AE1D"/>
        <bgColor rgb="FFFFCC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4E4"/>
      <rgbColor rgb="FFEAF6FA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4AE1D"/>
      <rgbColor rgb="FFDE3C16"/>
      <rgbColor rgb="FF555555"/>
      <rgbColor rgb="FF969696"/>
      <rgbColor rgb="FF12253A"/>
      <rgbColor rgb="FF2AA1C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nationalfasd.org.uk/the-cost-of-inaction-on-fasd/" TargetMode="External"/><Relationship Id="rId2" Type="http://schemas.openxmlformats.org/officeDocument/2006/relationships/hyperlink" Target="https://pmc.ncbi.nlm.nih.gov/articles/PMC9292152/" TargetMode="External"/><Relationship Id="rId3" Type="http://schemas.openxmlformats.org/officeDocument/2006/relationships/hyperlink" Target="https://pubmed.ncbi.nlm.nih.gov/30383615/" TargetMode="External"/><Relationship Id="rId4" Type="http://schemas.openxmlformats.org/officeDocument/2006/relationships/hyperlink" Target="https://nationalfasd.org.uk/learn-more/practitioners/social-care-workers/" TargetMode="External"/><Relationship Id="rId5" Type="http://schemas.openxmlformats.org/officeDocument/2006/relationships/hyperlink" Target="https://www.gov.uk/government/publications/fetal-alcohol-spectrum-disorder-health-needs-assessment/fetal-alcohol-spectrum-disorder-health-needs-assessment" TargetMode="External"/><Relationship Id="rId6" Type="http://schemas.openxmlformats.org/officeDocument/2006/relationships/hyperlink" Target="https://cambridgeshireinsight.org.uk/2024-cyp-jsna/" TargetMode="External"/><Relationship Id="rId7" Type="http://schemas.openxmlformats.org/officeDocument/2006/relationships/hyperlink" Target="https://learntogether.peterborough.gov.uk/asset-library/fasd-pcc-send-forum-08.05.25.pdf" TargetMode="External"/><Relationship Id="rId8" Type="http://schemas.openxmlformats.org/officeDocument/2006/relationships/hyperlink" Target="https://learntogether.peterborough.gov.uk/asset-library/virtual-school-annual-report-2024-25.pdf" TargetMode="External"/><Relationship Id="rId9" Type="http://schemas.openxmlformats.org/officeDocument/2006/relationships/hyperlink" Target="https://www.nomisweb.co.uk/" TargetMode="External"/><Relationship Id="rId10" Type="http://schemas.openxmlformats.org/officeDocument/2006/relationships/hyperlink" Target="https://www.gov.uk/government/publications/the-green-book-appraisal-and-evaluation-in-central-governent" TargetMode="External"/><Relationship Id="rId11" Type="http://schemas.openxmlformats.org/officeDocument/2006/relationships/hyperlink" Target="https://www.pinpoint-cambs.org.uk/information-hub/your-childs-needs/fetal-alcohol-spectrum-disorder/" TargetMode="External"/><Relationship Id="rId12" Type="http://schemas.openxmlformats.org/officeDocument/2006/relationships/hyperlink" Target="https://www.facebook.com/groups/132003786471827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08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</row>
    <row r="5" customFormat="false" ht="45.75" hidden="false" customHeight="true" outlineLevel="0" collapsed="false">
      <c r="A5" s="4" t="s">
        <v>4</v>
      </c>
      <c r="B5" s="5" t="s">
        <v>5</v>
      </c>
    </row>
    <row r="6" customFormat="false" ht="45.75" hidden="false" customHeight="true" outlineLevel="0" collapsed="false">
      <c r="A6" s="4" t="s">
        <v>6</v>
      </c>
      <c r="B6" s="5" t="s">
        <v>7</v>
      </c>
    </row>
    <row r="7" customFormat="false" ht="45.75" hidden="false" customHeight="true" outlineLevel="0" collapsed="false">
      <c r="A7" s="4" t="s">
        <v>8</v>
      </c>
      <c r="B7" s="5" t="s">
        <v>9</v>
      </c>
    </row>
    <row r="8" customFormat="false" ht="45.75" hidden="false" customHeight="true" outlineLevel="0" collapsed="false">
      <c r="A8" s="4" t="s">
        <v>10</v>
      </c>
      <c r="B8" s="5" t="s">
        <v>11</v>
      </c>
    </row>
    <row r="9" customFormat="false" ht="45.75" hidden="false" customHeight="true" outlineLevel="0" collapsed="false">
      <c r="A9" s="4" t="s">
        <v>12</v>
      </c>
      <c r="B9" s="5" t="s">
        <v>13</v>
      </c>
    </row>
    <row r="10" customFormat="false" ht="45.75" hidden="false" customHeight="true" outlineLevel="0" collapsed="false">
      <c r="A10" s="4" t="s">
        <v>14</v>
      </c>
      <c r="B10" s="5" t="s">
        <v>15</v>
      </c>
    </row>
    <row r="11" customFormat="false" ht="45.75" hidden="false" customHeight="true" outlineLevel="0" collapsed="false">
      <c r="A11" s="4" t="s">
        <v>16</v>
      </c>
      <c r="B11" s="5" t="s">
        <v>17</v>
      </c>
    </row>
    <row r="12" customFormat="false" ht="45.75" hidden="false" customHeight="true" outlineLevel="0" collapsed="false">
      <c r="A12" s="4" t="s">
        <v>18</v>
      </c>
      <c r="B12" s="5" t="s">
        <v>19</v>
      </c>
    </row>
    <row r="13" customFormat="false" ht="45.75" hidden="false" customHeight="true" outlineLevel="0" collapsed="false">
      <c r="A13" s="4" t="s">
        <v>20</v>
      </c>
      <c r="B13" s="5" t="s">
        <v>21</v>
      </c>
    </row>
    <row r="14" customFormat="false" ht="45.75" hidden="false" customHeight="true" outlineLevel="0" collapsed="false">
      <c r="A14" s="4" t="s">
        <v>22</v>
      </c>
      <c r="B14" s="5" t="s">
        <v>23</v>
      </c>
    </row>
    <row r="15" customFormat="false" ht="45.75" hidden="false" customHeight="true" outlineLevel="0" collapsed="false">
      <c r="A15" s="4" t="s">
        <v>24</v>
      </c>
      <c r="B15" s="5" t="s">
        <v>25</v>
      </c>
    </row>
    <row r="16" customFormat="false" ht="45.75" hidden="false" customHeight="true" outlineLevel="0" collapsed="false">
      <c r="A16" s="4" t="s">
        <v>26</v>
      </c>
      <c r="B16" s="5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62"/>
  </cols>
  <sheetData>
    <row r="1" customFormat="false" ht="18.55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30" hidden="false" customHeight="true" outlineLevel="0" collapsed="false">
      <c r="A4" s="3" t="s">
        <v>30</v>
      </c>
      <c r="B4" s="3" t="s">
        <v>31</v>
      </c>
      <c r="C4" s="3" t="s">
        <v>32</v>
      </c>
      <c r="D4" s="3" t="s">
        <v>33</v>
      </c>
    </row>
    <row r="5" customFormat="false" ht="25.5" hidden="false" customHeight="true" outlineLevel="0" collapsed="false">
      <c r="A5" s="0" t="s">
        <v>34</v>
      </c>
      <c r="B5" s="6" t="n">
        <v>359835</v>
      </c>
      <c r="C5" s="0" t="s">
        <v>35</v>
      </c>
      <c r="D5" s="7" t="s">
        <v>36</v>
      </c>
    </row>
    <row r="6" customFormat="false" ht="25.5" hidden="false" customHeight="true" outlineLevel="0" collapsed="false">
      <c r="A6" s="0" t="s">
        <v>37</v>
      </c>
      <c r="B6" s="8" t="n">
        <v>0.2</v>
      </c>
      <c r="C6" s="0" t="s">
        <v>38</v>
      </c>
      <c r="D6" s="7" t="s">
        <v>36</v>
      </c>
    </row>
    <row r="7" customFormat="false" ht="25.5" hidden="false" customHeight="true" outlineLevel="0" collapsed="false">
      <c r="A7" s="0" t="s">
        <v>39</v>
      </c>
      <c r="B7" s="8" t="n">
        <v>0.1</v>
      </c>
      <c r="C7" s="0" t="s">
        <v>38</v>
      </c>
      <c r="D7" s="7" t="s">
        <v>40</v>
      </c>
    </row>
    <row r="8" customFormat="false" ht="25.5" hidden="false" customHeight="true" outlineLevel="0" collapsed="false">
      <c r="A8" s="0" t="s">
        <v>41</v>
      </c>
      <c r="B8" s="8" t="n">
        <v>0.04</v>
      </c>
      <c r="C8" s="0" t="s">
        <v>38</v>
      </c>
      <c r="D8" s="7" t="s">
        <v>42</v>
      </c>
    </row>
    <row r="9" customFormat="false" ht="25.5" hidden="false" customHeight="true" outlineLevel="0" collapsed="false">
      <c r="A9" s="0" t="s">
        <v>43</v>
      </c>
      <c r="B9" s="8" t="n">
        <v>0.027</v>
      </c>
      <c r="C9" s="0" t="s">
        <v>38</v>
      </c>
      <c r="D9" s="7" t="s">
        <v>44</v>
      </c>
    </row>
    <row r="10" customFormat="false" ht="25.5" hidden="false" customHeight="true" outlineLevel="0" collapsed="false">
      <c r="A10" s="0" t="s">
        <v>45</v>
      </c>
      <c r="B10" s="8" t="n">
        <v>0.018</v>
      </c>
      <c r="C10" s="0" t="s">
        <v>38</v>
      </c>
      <c r="D10" s="7" t="s">
        <v>46</v>
      </c>
    </row>
    <row r="11" customFormat="false" ht="25.5" hidden="false" customHeight="true" outlineLevel="0" collapsed="false">
      <c r="A11" s="0" t="s">
        <v>47</v>
      </c>
      <c r="B11" s="8" t="n">
        <v>0.035</v>
      </c>
      <c r="C11" s="0" t="s">
        <v>48</v>
      </c>
      <c r="D11" s="7" t="s">
        <v>49</v>
      </c>
    </row>
    <row r="12" customFormat="false" ht="25.5" hidden="false" customHeight="true" outlineLevel="0" collapsed="false">
      <c r="A12" s="0" t="s">
        <v>50</v>
      </c>
      <c r="B12" s="9" t="n">
        <v>75</v>
      </c>
      <c r="C12" s="0" t="s">
        <v>51</v>
      </c>
      <c r="D12" s="7" t="s">
        <v>52</v>
      </c>
    </row>
    <row r="13" customFormat="false" ht="25.5" hidden="false" customHeight="true" outlineLevel="0" collapsed="false">
      <c r="A13" s="0" t="s">
        <v>53</v>
      </c>
      <c r="B13" s="9" t="n">
        <v>18</v>
      </c>
      <c r="C13" s="0" t="s">
        <v>51</v>
      </c>
      <c r="D13" s="7" t="s">
        <v>54</v>
      </c>
    </row>
    <row r="14" customFormat="false" ht="25.5" hidden="false" customHeight="true" outlineLevel="0" collapsed="false">
      <c r="A14" s="0" t="s">
        <v>55</v>
      </c>
      <c r="B14" s="10" t="n">
        <v>8305</v>
      </c>
      <c r="C14" s="0" t="s">
        <v>56</v>
      </c>
      <c r="D14" s="7" t="s">
        <v>57</v>
      </c>
    </row>
    <row r="15" customFormat="false" ht="25.5" hidden="false" customHeight="true" outlineLevel="0" collapsed="false">
      <c r="A15" s="0" t="s">
        <v>58</v>
      </c>
      <c r="B15" s="10" t="n">
        <v>2911</v>
      </c>
      <c r="C15" s="0" t="s">
        <v>56</v>
      </c>
      <c r="D15" s="7" t="s">
        <v>59</v>
      </c>
    </row>
    <row r="16" customFormat="false" ht="25.5" hidden="false" customHeight="true" outlineLevel="0" collapsed="false">
      <c r="A16" s="11" t="s">
        <v>60</v>
      </c>
      <c r="B16" s="12" t="n">
        <f aca="false">B14+B15</f>
        <v>11216</v>
      </c>
      <c r="C16" s="0" t="s">
        <v>56</v>
      </c>
      <c r="D16" s="7" t="s">
        <v>61</v>
      </c>
    </row>
    <row r="17" customFormat="false" ht="25.5" hidden="false" customHeight="true" outlineLevel="0" collapsed="false">
      <c r="A17" s="0" t="s">
        <v>62</v>
      </c>
      <c r="B17" s="10" t="n">
        <v>139938</v>
      </c>
      <c r="C17" s="0" t="s">
        <v>56</v>
      </c>
      <c r="D17" s="7" t="s">
        <v>63</v>
      </c>
    </row>
    <row r="18" customFormat="false" ht="25.5" hidden="false" customHeight="true" outlineLevel="0" collapsed="false">
      <c r="A18" s="0" t="s">
        <v>64</v>
      </c>
      <c r="B18" s="10" t="n">
        <v>56200</v>
      </c>
      <c r="C18" s="0" t="s">
        <v>56</v>
      </c>
      <c r="D18" s="7" t="s">
        <v>63</v>
      </c>
    </row>
    <row r="19" customFormat="false" ht="25.5" hidden="false" customHeight="true" outlineLevel="0" collapsed="false">
      <c r="A19" s="11" t="s">
        <v>65</v>
      </c>
      <c r="B19" s="12" t="n">
        <f aca="false">B17+B18</f>
        <v>196138</v>
      </c>
      <c r="C19" s="0" t="s">
        <v>56</v>
      </c>
      <c r="D19" s="7" t="s">
        <v>61</v>
      </c>
    </row>
    <row r="20" customFormat="false" ht="25.5" hidden="false" customHeight="true" outlineLevel="0" collapsed="false">
      <c r="A20" s="0" t="s">
        <v>66</v>
      </c>
      <c r="B20" s="10" t="n">
        <v>941740</v>
      </c>
      <c r="C20" s="0" t="s">
        <v>56</v>
      </c>
      <c r="D20" s="7" t="s">
        <v>67</v>
      </c>
    </row>
    <row r="21" customFormat="false" ht="25.5" hidden="false" customHeight="true" outlineLevel="0" collapsed="false">
      <c r="A21" s="0" t="s">
        <v>68</v>
      </c>
      <c r="B21" s="10" t="n">
        <v>422</v>
      </c>
      <c r="C21" s="0" t="s">
        <v>69</v>
      </c>
      <c r="D21" s="7" t="s">
        <v>70</v>
      </c>
    </row>
    <row r="22" customFormat="false" ht="25.5" hidden="false" customHeight="true" outlineLevel="0" collapsed="false">
      <c r="A22" s="0" t="s">
        <v>71</v>
      </c>
      <c r="B22" s="10" t="n">
        <v>646</v>
      </c>
      <c r="C22" s="0" t="s">
        <v>69</v>
      </c>
      <c r="D22" s="7" t="s">
        <v>72</v>
      </c>
    </row>
    <row r="23" customFormat="false" ht="25.5" hidden="false" customHeight="true" outlineLevel="0" collapsed="false">
      <c r="A23" s="0" t="s">
        <v>73</v>
      </c>
      <c r="B23" s="8" t="n">
        <v>0.27</v>
      </c>
      <c r="C23" s="0" t="s">
        <v>38</v>
      </c>
      <c r="D23" s="7" t="s">
        <v>74</v>
      </c>
    </row>
    <row r="24" customFormat="false" ht="25.5" hidden="false" customHeight="true" outlineLevel="0" collapsed="false">
      <c r="A24" s="0" t="s">
        <v>75</v>
      </c>
      <c r="B24" s="8" t="n">
        <v>0.75</v>
      </c>
      <c r="C24" s="0" t="s">
        <v>38</v>
      </c>
      <c r="D24" s="7" t="s">
        <v>76</v>
      </c>
    </row>
    <row r="25" customFormat="false" ht="25.5" hidden="false" customHeight="true" outlineLevel="0" collapsed="false">
      <c r="A25" s="13" t="s">
        <v>77</v>
      </c>
      <c r="B25" s="14" t="n">
        <f aca="false">'2. Assumptions'!$B$5*(1+'2. Assumptions'!$B$6)</f>
        <v>431802</v>
      </c>
      <c r="D25" s="7"/>
    </row>
    <row r="26" customFormat="false" ht="25.5" hidden="false" customHeight="true" outlineLevel="0" collapsed="false">
      <c r="A26" s="13" t="s">
        <v>78</v>
      </c>
      <c r="B26" s="14" t="n">
        <f aca="false">'2. Assumptions'!$B$7*'2. Assumptions'!$B$5+(1-'2. Assumptions'!$B$7)*'2. Assumptions'!$B$25</f>
        <v>424605.3</v>
      </c>
      <c r="D26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20"/>
    <col collapsed="false" customWidth="true" hidden="false" outlineLevel="0" max="4" min="4" style="0" width="21"/>
    <col collapsed="false" customWidth="true" hidden="false" outlineLevel="0" max="5" min="5" style="0" width="19"/>
  </cols>
  <sheetData>
    <row r="1" customFormat="false" ht="18.55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30" hidden="false" customHeight="true" outlineLevel="0" collapsed="false">
      <c r="A4" s="3" t="s">
        <v>81</v>
      </c>
      <c r="B4" s="3" t="s">
        <v>82</v>
      </c>
      <c r="C4" s="3" t="s">
        <v>83</v>
      </c>
      <c r="D4" s="3" t="s">
        <v>84</v>
      </c>
      <c r="E4" s="3" t="s">
        <v>85</v>
      </c>
    </row>
    <row r="5" customFormat="false" ht="15" hidden="false" customHeight="false" outlineLevel="0" collapsed="false">
      <c r="A5" s="0" t="s">
        <v>86</v>
      </c>
      <c r="B5" s="15" t="n">
        <f aca="false">123372/'2. Assumptions'!$B$5</f>
        <v>0.342857142857143</v>
      </c>
      <c r="C5" s="16" t="n">
        <v>123372</v>
      </c>
      <c r="D5" s="16" t="n">
        <f aca="false">C5*(1+'2. Assumptions'!$B$6)</f>
        <v>148046.4</v>
      </c>
      <c r="E5" s="16" t="n">
        <f aca="false">'2. Assumptions'!$B$7*C5+(1-'2. Assumptions'!$B$7)*D5</f>
        <v>145578.96</v>
      </c>
    </row>
    <row r="6" customFormat="false" ht="15" hidden="false" customHeight="false" outlineLevel="0" collapsed="false">
      <c r="A6" s="0" t="s">
        <v>87</v>
      </c>
      <c r="B6" s="15" t="n">
        <f aca="false">74023/'2. Assumptions'!$B$5</f>
        <v>0.205713729903984</v>
      </c>
      <c r="C6" s="16" t="n">
        <v>74023</v>
      </c>
      <c r="D6" s="16" t="n">
        <f aca="false">C6*(1+'2. Assumptions'!$B$6)</f>
        <v>88827.6</v>
      </c>
      <c r="E6" s="16" t="n">
        <f aca="false">'2. Assumptions'!$B$7*C6+(1-'2. Assumptions'!$B$7)*D6</f>
        <v>87347.14</v>
      </c>
    </row>
    <row r="7" customFormat="false" ht="15" hidden="false" customHeight="false" outlineLevel="0" collapsed="false">
      <c r="A7" s="0" t="s">
        <v>88</v>
      </c>
      <c r="B7" s="15" t="n">
        <f aca="false">61686/'2. Assumptions'!$B$5</f>
        <v>0.171428571428571</v>
      </c>
      <c r="C7" s="16" t="n">
        <v>61686</v>
      </c>
      <c r="D7" s="16" t="n">
        <f aca="false">C7*(1+'2. Assumptions'!$B$6)</f>
        <v>74023.2</v>
      </c>
      <c r="E7" s="16" t="n">
        <f aca="false">'2. Assumptions'!$B$7*C7+(1-'2. Assumptions'!$B$7)*D7</f>
        <v>72789.48</v>
      </c>
    </row>
    <row r="8" customFormat="false" ht="15" hidden="false" customHeight="false" outlineLevel="0" collapsed="false">
      <c r="A8" s="0" t="s">
        <v>89</v>
      </c>
      <c r="B8" s="15" t="n">
        <f aca="false">51405/'2. Assumptions'!$B$5</f>
        <v>0.142857142857143</v>
      </c>
      <c r="C8" s="16" t="n">
        <v>51405</v>
      </c>
      <c r="D8" s="16" t="n">
        <f aca="false">C8*(1+'2. Assumptions'!$B$6)</f>
        <v>61686</v>
      </c>
      <c r="E8" s="16" t="n">
        <f aca="false">'2. Assumptions'!$B$7*C8+(1-'2. Assumptions'!$B$7)*D8</f>
        <v>60657.9</v>
      </c>
    </row>
    <row r="9" customFormat="false" ht="15" hidden="false" customHeight="false" outlineLevel="0" collapsed="false">
      <c r="A9" s="0" t="s">
        <v>90</v>
      </c>
      <c r="B9" s="15" t="n">
        <f aca="false">32899/'2. Assumptions'!$B$5</f>
        <v>0.0914280156182695</v>
      </c>
      <c r="C9" s="16" t="n">
        <v>32899</v>
      </c>
      <c r="D9" s="16" t="n">
        <f aca="false">C9*(1+'2. Assumptions'!$B$6)</f>
        <v>39478.8</v>
      </c>
      <c r="E9" s="16" t="n">
        <f aca="false">'2. Assumptions'!$B$7*C9+(1-'2. Assumptions'!$B$7)*D9</f>
        <v>38820.82</v>
      </c>
    </row>
    <row r="10" customFormat="false" ht="15" hidden="false" customHeight="false" outlineLevel="0" collapsed="false">
      <c r="A10" s="0" t="s">
        <v>91</v>
      </c>
      <c r="B10" s="15" t="n">
        <f aca="false">16450/'2. Assumptions'!$B$5</f>
        <v>0.0457153973348896</v>
      </c>
      <c r="C10" s="16" t="n">
        <v>16450</v>
      </c>
      <c r="D10" s="16" t="n">
        <f aca="false">C10*(1+'2. Assumptions'!$B$6)</f>
        <v>19740</v>
      </c>
      <c r="E10" s="16" t="n">
        <f aca="false">'2. Assumptions'!$B$7*C10+(1-'2. Assumptions'!$B$7)*D10</f>
        <v>19411</v>
      </c>
    </row>
    <row r="11" customFormat="false" ht="15" hidden="false" customHeight="false" outlineLevel="0" collapsed="false">
      <c r="A11" s="17" t="s">
        <v>92</v>
      </c>
      <c r="B11" s="18" t="n">
        <f aca="false">SUM(B5:B10)</f>
        <v>1</v>
      </c>
      <c r="C11" s="19" t="n">
        <f aca="false">SUM(C5:C10)</f>
        <v>359835</v>
      </c>
      <c r="D11" s="19" t="n">
        <f aca="false">SUM(D5:D10)</f>
        <v>431802</v>
      </c>
      <c r="E11" s="19" t="n">
        <f aca="false">SUM(E5:E10)</f>
        <v>424605.3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5"/>
    <col collapsed="false" customWidth="true" hidden="false" outlineLevel="0" max="3" min="3" style="0" width="20"/>
    <col collapsed="false" customWidth="true" hidden="false" outlineLevel="0" max="4" min="4" style="0" width="17"/>
    <col collapsed="false" customWidth="true" hidden="false" outlineLevel="0" max="5" min="5" style="0" width="24"/>
    <col collapsed="false" customWidth="true" hidden="false" outlineLevel="0" max="6" min="6" style="0" width="27"/>
    <col collapsed="false" customWidth="true" hidden="false" outlineLevel="0" max="7" min="7" style="0" width="25"/>
    <col collapsed="false" customWidth="true" hidden="false" outlineLevel="0" max="8" min="8" style="0" width="27"/>
  </cols>
  <sheetData>
    <row r="1" customFormat="false" ht="18.55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39.75" hidden="false" customHeight="true" outlineLevel="0" collapsed="false">
      <c r="A4" s="3" t="s">
        <v>95</v>
      </c>
      <c r="B4" s="3" t="s">
        <v>96</v>
      </c>
      <c r="C4" s="3" t="s">
        <v>97</v>
      </c>
      <c r="D4" s="3" t="s">
        <v>98</v>
      </c>
      <c r="E4" s="3" t="s">
        <v>99</v>
      </c>
      <c r="F4" s="3" t="s">
        <v>100</v>
      </c>
      <c r="G4" s="3" t="s">
        <v>101</v>
      </c>
      <c r="H4" s="3" t="s">
        <v>102</v>
      </c>
    </row>
    <row r="5" customFormat="false" ht="15" hidden="false" customHeight="false" outlineLevel="0" collapsed="false">
      <c r="A5" s="20" t="s">
        <v>103</v>
      </c>
      <c r="B5" s="21" t="n">
        <v>0.04</v>
      </c>
      <c r="C5" s="22" t="n">
        <f aca="false">'2. Assumptions'!$B$16*B5</f>
        <v>448.64</v>
      </c>
      <c r="D5" s="22" t="n">
        <f aca="false">C5*(1-'2. Assumptions'!$B$7)</f>
        <v>403.776</v>
      </c>
      <c r="E5" s="23" t="n">
        <f aca="false">C5*'2. Assumptions'!$B$26</f>
        <v>190494921.792</v>
      </c>
      <c r="F5" s="23" t="n">
        <f aca="false">E5*('2. Assumptions'!$B$12-'2. Assumptions'!$B$13)/'2. Assumptions'!$B$12</f>
        <v>144776140.56192</v>
      </c>
      <c r="G5" s="23" t="n">
        <f aca="false">C5*('2. Assumptions'!$B$26/'2. Assumptions'!$B$12)*(1-(1+'2. Assumptions'!$B$11)^-('2. Assumptions'!$B$12-'2. Assumptions'!$B$13))/'2. Assumptions'!$B$11</f>
        <v>62356474.6171631</v>
      </c>
      <c r="H5" s="23" t="n">
        <f aca="false">D5*('2. Assumptions'!$B$25-'2. Assumptions'!$B$5)</f>
        <v>29058547.392</v>
      </c>
    </row>
    <row r="6" customFormat="false" ht="15" hidden="false" customHeight="false" outlineLevel="0" collapsed="false">
      <c r="A6" s="0" t="s">
        <v>104</v>
      </c>
      <c r="B6" s="15" t="n">
        <v>0.036</v>
      </c>
      <c r="C6" s="24" t="n">
        <f aca="false">'2. Assumptions'!$B$16*B6</f>
        <v>403.776</v>
      </c>
      <c r="D6" s="24" t="n">
        <f aca="false">C6*(1-'2. Assumptions'!$B$7)</f>
        <v>363.3984</v>
      </c>
      <c r="E6" s="16" t="n">
        <f aca="false">C6*'2. Assumptions'!$B$26</f>
        <v>171445429.6128</v>
      </c>
      <c r="F6" s="16" t="n">
        <f aca="false">E6*('2. Assumptions'!$B$12-'2. Assumptions'!$B$13)/'2. Assumptions'!$B$12</f>
        <v>130298526.505728</v>
      </c>
      <c r="G6" s="16" t="n">
        <f aca="false">C6*('2. Assumptions'!$B$26/'2. Assumptions'!$B$12)*(1-(1+'2. Assumptions'!$B$11)^-('2. Assumptions'!$B$12-'2. Assumptions'!$B$13))/'2. Assumptions'!$B$11</f>
        <v>56120827.1554468</v>
      </c>
      <c r="H6" s="16" t="n">
        <f aca="false">D6*('2. Assumptions'!$B$25-'2. Assumptions'!$B$5)</f>
        <v>26152692.6528</v>
      </c>
    </row>
    <row r="7" customFormat="false" ht="15" hidden="false" customHeight="false" outlineLevel="0" collapsed="false">
      <c r="A7" s="0" t="s">
        <v>105</v>
      </c>
      <c r="B7" s="15" t="n">
        <v>0.03</v>
      </c>
      <c r="C7" s="24" t="n">
        <f aca="false">'2. Assumptions'!$B$16*B7</f>
        <v>336.48</v>
      </c>
      <c r="D7" s="24" t="n">
        <f aca="false">C7*(1-'2. Assumptions'!$B$7)</f>
        <v>302.832</v>
      </c>
      <c r="E7" s="16" t="n">
        <f aca="false">C7*'2. Assumptions'!$B$26</f>
        <v>142871191.344</v>
      </c>
      <c r="F7" s="16" t="n">
        <f aca="false">E7*('2. Assumptions'!$B$12-'2. Assumptions'!$B$13)/'2. Assumptions'!$B$12</f>
        <v>108582105.42144</v>
      </c>
      <c r="G7" s="16" t="n">
        <f aca="false">C7*('2. Assumptions'!$B$26/'2. Assumptions'!$B$12)*(1-(1+'2. Assumptions'!$B$11)^-('2. Assumptions'!$B$12-'2. Assumptions'!$B$13))/'2. Assumptions'!$B$11</f>
        <v>46767355.9628723</v>
      </c>
      <c r="H7" s="16" t="n">
        <f aca="false">D7*('2. Assumptions'!$B$25-'2. Assumptions'!$B$5)</f>
        <v>21793910.544</v>
      </c>
    </row>
    <row r="8" customFormat="false" ht="15" hidden="false" customHeight="false" outlineLevel="0" collapsed="false">
      <c r="A8" s="0" t="s">
        <v>106</v>
      </c>
      <c r="B8" s="15" t="n">
        <v>0.027</v>
      </c>
      <c r="C8" s="24" t="n">
        <f aca="false">'2. Assumptions'!$B$16*B8</f>
        <v>302.832</v>
      </c>
      <c r="D8" s="24" t="n">
        <f aca="false">C8*(1-'2. Assumptions'!$B$7)</f>
        <v>272.5488</v>
      </c>
      <c r="E8" s="16" t="n">
        <f aca="false">C8*'2. Assumptions'!$B$26</f>
        <v>128584072.2096</v>
      </c>
      <c r="F8" s="16" t="n">
        <f aca="false">E8*('2. Assumptions'!$B$12-'2. Assumptions'!$B$13)/'2. Assumptions'!$B$12</f>
        <v>97723894.879296</v>
      </c>
      <c r="G8" s="16" t="n">
        <f aca="false">C8*('2. Assumptions'!$B$26/'2. Assumptions'!$B$12)*(1-(1+'2. Assumptions'!$B$11)^-('2. Assumptions'!$B$12-'2. Assumptions'!$B$13))/'2. Assumptions'!$B$11</f>
        <v>42090620.3665851</v>
      </c>
      <c r="H8" s="16" t="n">
        <f aca="false">D8*('2. Assumptions'!$B$25-'2. Assumptions'!$B$5)</f>
        <v>19614519.4896</v>
      </c>
    </row>
    <row r="9" customFormat="false" ht="15" hidden="false" customHeight="false" outlineLevel="0" collapsed="false">
      <c r="A9" s="0" t="s">
        <v>107</v>
      </c>
      <c r="B9" s="15" t="n">
        <v>0.018</v>
      </c>
      <c r="C9" s="24" t="n">
        <f aca="false">'2. Assumptions'!$B$16*B9</f>
        <v>201.888</v>
      </c>
      <c r="D9" s="24" t="n">
        <f aca="false">C9*(1-'2. Assumptions'!$B$7)</f>
        <v>181.6992</v>
      </c>
      <c r="E9" s="16" t="n">
        <f aca="false">C9*'2. Assumptions'!$B$26</f>
        <v>85722714.8064</v>
      </c>
      <c r="F9" s="16" t="n">
        <f aca="false">E9*('2. Assumptions'!$B$12-'2. Assumptions'!$B$13)/'2. Assumptions'!$B$12</f>
        <v>65149263.252864</v>
      </c>
      <c r="G9" s="16" t="n">
        <f aca="false">C9*('2. Assumptions'!$B$26/'2. Assumptions'!$B$12)*(1-(1+'2. Assumptions'!$B$11)^-('2. Assumptions'!$B$12-'2. Assumptions'!$B$13))/'2. Assumptions'!$B$11</f>
        <v>28060413.5777234</v>
      </c>
      <c r="H9" s="16" t="n">
        <f aca="false">D9*('2. Assumptions'!$B$25-'2. Assumptions'!$B$5)</f>
        <v>13076346.3264</v>
      </c>
    </row>
    <row r="11" customFormat="false" ht="15" hidden="false" customHeight="false" outlineLevel="0" collapsed="false">
      <c r="A11" s="25" t="s">
        <v>108</v>
      </c>
    </row>
    <row r="12" customFormat="false" ht="39.75" hidden="false" customHeight="true" outlineLevel="0" collapsed="false">
      <c r="A12" s="26" t="s">
        <v>109</v>
      </c>
      <c r="B12" s="26" t="s">
        <v>110</v>
      </c>
      <c r="C12" s="26" t="s">
        <v>111</v>
      </c>
      <c r="D12" s="26" t="s">
        <v>98</v>
      </c>
      <c r="E12" s="26" t="s">
        <v>99</v>
      </c>
      <c r="F12" s="26" t="s">
        <v>112</v>
      </c>
    </row>
    <row r="13" customFormat="false" ht="15" hidden="false" customHeight="false" outlineLevel="0" collapsed="false">
      <c r="A13" s="0" t="s">
        <v>113</v>
      </c>
      <c r="B13" s="24" t="n">
        <f aca="false">'2. Assumptions'!$B$14</f>
        <v>8305</v>
      </c>
      <c r="C13" s="24" t="n">
        <f aca="false">B13*'2. Assumptions'!$B$8</f>
        <v>332.2</v>
      </c>
      <c r="D13" s="24" t="n">
        <f aca="false">C13*(1-'2. Assumptions'!$B$7)</f>
        <v>298.98</v>
      </c>
      <c r="E13" s="16" t="n">
        <f aca="false">C13*'2. Assumptions'!$B$26</f>
        <v>141053880.66</v>
      </c>
      <c r="F13" s="16" t="n">
        <f aca="false">C13*('2. Assumptions'!$B$26/'2. Assumptions'!$B$12)*(1-(1+'2. Assumptions'!$B$11)^-('2. Assumptions'!$B$12-'2. Assumptions'!$B$13))/'2. Assumptions'!$B$11</f>
        <v>46172478.7531687</v>
      </c>
    </row>
    <row r="14" customFormat="false" ht="15" hidden="false" customHeight="false" outlineLevel="0" collapsed="false">
      <c r="A14" s="0" t="s">
        <v>114</v>
      </c>
      <c r="B14" s="24" t="n">
        <f aca="false">'2. Assumptions'!$B$15</f>
        <v>2911</v>
      </c>
      <c r="C14" s="24" t="n">
        <f aca="false">B14*'2. Assumptions'!$B$8</f>
        <v>116.44</v>
      </c>
      <c r="D14" s="24" t="n">
        <f aca="false">C14*(1-'2. Assumptions'!$B$7)</f>
        <v>104.796</v>
      </c>
      <c r="E14" s="16" t="n">
        <f aca="false">C14*'2. Assumptions'!$B$26</f>
        <v>49441041.132</v>
      </c>
      <c r="F14" s="16" t="n">
        <f aca="false">C14*('2. Assumptions'!$B$26/'2. Assumptions'!$B$12)*(1-(1+'2. Assumptions'!$B$11)^-('2. Assumptions'!$B$12-'2. Assumptions'!$B$13))/'2. Assumptions'!$B$11</f>
        <v>16183995.8639945</v>
      </c>
    </row>
    <row r="15" customFormat="false" ht="15" hidden="false" customHeight="false" outlineLevel="0" collapsed="false">
      <c r="A15" s="17" t="s">
        <v>115</v>
      </c>
      <c r="B15" s="27" t="n">
        <f aca="false">'2. Assumptions'!$B$16</f>
        <v>11216</v>
      </c>
      <c r="C15" s="27" t="n">
        <f aca="false">B15*'2. Assumptions'!$B$8</f>
        <v>448.64</v>
      </c>
      <c r="D15" s="27" t="n">
        <f aca="false">C15*(1-'2. Assumptions'!$B$7)</f>
        <v>403.776</v>
      </c>
      <c r="E15" s="19" t="n">
        <f aca="false">C15*'2. Assumptions'!$B$26</f>
        <v>190494921.792</v>
      </c>
      <c r="F15" s="19" t="n">
        <f aca="false">C15*('2. Assumptions'!$B$26/'2. Assumptions'!$B$12)*(1-(1+'2. Assumptions'!$B$11)^-('2. Assumptions'!$B$12-'2. Assumptions'!$B$13))/'2. Assumptions'!$B$11</f>
        <v>62356474.6171631</v>
      </c>
    </row>
    <row r="17" customFormat="false" ht="15" hidden="false" customHeight="false" outlineLevel="0" collapsed="false">
      <c r="A17" s="25" t="s">
        <v>116</v>
      </c>
    </row>
    <row r="18" customFormat="false" ht="39.75" hidden="false" customHeight="true" outlineLevel="0" collapsed="false">
      <c r="A18" s="26" t="s">
        <v>117</v>
      </c>
      <c r="B18" s="26" t="s">
        <v>118</v>
      </c>
      <c r="C18" s="26" t="s">
        <v>99</v>
      </c>
    </row>
    <row r="19" customFormat="false" ht="15" hidden="false" customHeight="false" outlineLevel="0" collapsed="false">
      <c r="A19" s="15" t="n">
        <v>0.04</v>
      </c>
      <c r="B19" s="24" t="n">
        <f aca="false">'2. Assumptions'!$B$19*A19</f>
        <v>7845.52</v>
      </c>
      <c r="C19" s="16" t="n">
        <f aca="false">B19*'2. Assumptions'!$B$26</f>
        <v>3331249373.256</v>
      </c>
    </row>
    <row r="20" customFormat="false" ht="15" hidden="false" customHeight="false" outlineLevel="0" collapsed="false">
      <c r="A20" s="15" t="n">
        <v>0.036</v>
      </c>
      <c r="B20" s="24" t="n">
        <f aca="false">'2. Assumptions'!$B$19*A20</f>
        <v>7060.968</v>
      </c>
      <c r="C20" s="16" t="n">
        <f aca="false">B20*'2. Assumptions'!$B$26</f>
        <v>2998124435.9304</v>
      </c>
    </row>
    <row r="21" customFormat="false" ht="15" hidden="false" customHeight="false" outlineLevel="0" collapsed="false">
      <c r="A21" s="15" t="n">
        <v>0.03</v>
      </c>
      <c r="B21" s="24" t="n">
        <f aca="false">'2. Assumptions'!$B$19*A21</f>
        <v>5884.14</v>
      </c>
      <c r="C21" s="16" t="n">
        <f aca="false">B21*'2. Assumptions'!$B$26</f>
        <v>2498437029.942</v>
      </c>
    </row>
    <row r="22" customFormat="false" ht="15" hidden="false" customHeight="false" outlineLevel="0" collapsed="false">
      <c r="A22" s="15" t="n">
        <v>0.027</v>
      </c>
      <c r="B22" s="24" t="n">
        <f aca="false">'2. Assumptions'!$B$19*A22</f>
        <v>5295.726</v>
      </c>
      <c r="C22" s="16" t="n">
        <f aca="false">B22*'2. Assumptions'!$B$26</f>
        <v>2248593326.9478</v>
      </c>
    </row>
    <row r="23" customFormat="false" ht="15" hidden="false" customHeight="false" outlineLevel="0" collapsed="false">
      <c r="A23" s="15" t="n">
        <v>0.018</v>
      </c>
      <c r="B23" s="24" t="n">
        <f aca="false">'2. Assumptions'!$B$19*A23</f>
        <v>3530.484</v>
      </c>
      <c r="C23" s="16" t="n">
        <f aca="false">B23*'2. Assumptions'!$B$26</f>
        <v>1499062217.9652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27"/>
    <col collapsed="false" customWidth="true" hidden="false" outlineLevel="0" max="4" min="4" style="0" width="30"/>
    <col collapsed="false" customWidth="true" hidden="false" outlineLevel="0" max="5" min="5" style="0" width="52"/>
  </cols>
  <sheetData>
    <row r="1" customFormat="false" ht="18.55" hidden="false" customHeight="false" outlineLevel="0" collapsed="false">
      <c r="A1" s="1" t="s">
        <v>119</v>
      </c>
    </row>
    <row r="2" customFormat="false" ht="15" hidden="false" customHeight="false" outlineLevel="0" collapsed="false">
      <c r="A2" s="2" t="s">
        <v>120</v>
      </c>
    </row>
    <row r="4" customFormat="false" ht="30" hidden="false" customHeight="true" outlineLevel="0" collapsed="false">
      <c r="A4" s="3" t="s">
        <v>109</v>
      </c>
      <c r="B4" s="3" t="s">
        <v>121</v>
      </c>
      <c r="C4" s="3" t="s">
        <v>122</v>
      </c>
      <c r="D4" s="3" t="s">
        <v>123</v>
      </c>
      <c r="E4" s="3" t="s">
        <v>124</v>
      </c>
    </row>
    <row r="5" customFormat="false" ht="28.35" hidden="false" customHeight="false" outlineLevel="0" collapsed="false">
      <c r="A5" s="0" t="s">
        <v>125</v>
      </c>
      <c r="B5" s="24" t="n">
        <f aca="false">'2. Assumptions'!$B$21</f>
        <v>422</v>
      </c>
      <c r="C5" s="24" t="n">
        <f aca="false">B5*'2. Assumptions'!$B$23</f>
        <v>113.94</v>
      </c>
      <c r="D5" s="16" t="n">
        <f aca="false">C5*'2. Assumptions'!$B$26</f>
        <v>48379527.882</v>
      </c>
      <c r="E5" s="7" t="s">
        <v>126</v>
      </c>
    </row>
    <row r="6" customFormat="false" ht="28.35" hidden="false" customHeight="false" outlineLevel="0" collapsed="false">
      <c r="A6" s="0" t="s">
        <v>127</v>
      </c>
      <c r="B6" s="24" t="n">
        <f aca="false">'2. Assumptions'!$B$22</f>
        <v>646</v>
      </c>
      <c r="C6" s="24" t="n">
        <f aca="false">B6*'2. Assumptions'!$B$23</f>
        <v>174.42</v>
      </c>
      <c r="D6" s="16" t="n">
        <f aca="false">C6*'2. Assumptions'!$B$26</f>
        <v>74059656.426</v>
      </c>
      <c r="E6" s="7" t="s">
        <v>128</v>
      </c>
    </row>
    <row r="7" customFormat="false" ht="28.35" hidden="false" customHeight="false" outlineLevel="0" collapsed="false">
      <c r="A7" s="20" t="s">
        <v>115</v>
      </c>
      <c r="B7" s="22" t="n">
        <f aca="false">B5+B6</f>
        <v>1068</v>
      </c>
      <c r="C7" s="22" t="n">
        <f aca="false">B7*'2. Assumptions'!$B$23</f>
        <v>288.36</v>
      </c>
      <c r="D7" s="23" t="n">
        <f aca="false">C7*'2. Assumptions'!$B$26</f>
        <v>122439184.308</v>
      </c>
      <c r="E7" s="28" t="s">
        <v>129</v>
      </c>
    </row>
    <row r="10" customFormat="false" ht="15" hidden="false" customHeight="false" outlineLevel="0" collapsed="false">
      <c r="A10" s="25" t="s">
        <v>130</v>
      </c>
    </row>
    <row r="11" customFormat="false" ht="42" hidden="false" customHeight="true" outlineLevel="0" collapsed="false">
      <c r="A11" s="29" t="s">
        <v>131</v>
      </c>
      <c r="B11" s="30" t="s">
        <v>132</v>
      </c>
      <c r="C11" s="30"/>
      <c r="D11" s="30"/>
      <c r="E11" s="30"/>
    </row>
    <row r="12" customFormat="false" ht="42" hidden="false" customHeight="true" outlineLevel="0" collapsed="false">
      <c r="A12" s="29" t="s">
        <v>133</v>
      </c>
      <c r="B12" s="30" t="s">
        <v>134</v>
      </c>
      <c r="C12" s="30"/>
      <c r="D12" s="30"/>
      <c r="E12" s="30"/>
    </row>
    <row r="13" customFormat="false" ht="42" hidden="false" customHeight="true" outlineLevel="0" collapsed="false">
      <c r="A13" s="29" t="s">
        <v>135</v>
      </c>
      <c r="B13" s="30" t="s">
        <v>136</v>
      </c>
      <c r="C13" s="30"/>
      <c r="D13" s="30"/>
      <c r="E13" s="30"/>
    </row>
    <row r="14" customFormat="false" ht="42" hidden="false" customHeight="true" outlineLevel="0" collapsed="false">
      <c r="A14" s="29" t="s">
        <v>137</v>
      </c>
      <c r="B14" s="30" t="s">
        <v>138</v>
      </c>
      <c r="C14" s="30"/>
      <c r="D14" s="30"/>
      <c r="E14" s="30"/>
    </row>
  </sheetData>
  <mergeCells count="4">
    <mergeCell ref="B11:E11"/>
    <mergeCell ref="B12:E12"/>
    <mergeCell ref="B13:E13"/>
    <mergeCell ref="B14:E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70"/>
  </cols>
  <sheetData>
    <row r="1" customFormat="false" ht="18.55" hidden="false" customHeight="false" outlineLevel="0" collapsed="false">
      <c r="A1" s="1" t="s">
        <v>139</v>
      </c>
    </row>
    <row r="2" customFormat="false" ht="15" hidden="false" customHeight="false" outlineLevel="0" collapsed="false">
      <c r="A2" s="2" t="s">
        <v>140</v>
      </c>
    </row>
    <row r="4" customFormat="false" ht="30" hidden="false" customHeight="true" outlineLevel="0" collapsed="false">
      <c r="A4" s="3" t="s">
        <v>141</v>
      </c>
      <c r="B4" s="3" t="s">
        <v>142</v>
      </c>
      <c r="C4" s="3" t="s">
        <v>143</v>
      </c>
      <c r="D4" s="3" t="s">
        <v>144</v>
      </c>
      <c r="E4" s="3" t="s">
        <v>145</v>
      </c>
    </row>
    <row r="5" customFormat="false" ht="45.75" hidden="false" customHeight="true" outlineLevel="0" collapsed="false">
      <c r="A5" s="0" t="s">
        <v>146</v>
      </c>
      <c r="B5" s="16" t="n">
        <f aca="false">'2. Assumptions'!$B$16*'2. Assumptions'!$B$8*('2. Assumptions'!$B$7*123372+(1-'2. Assumptions'!$B$7)*123372*(1+'2. Assumptions'!$B$6))</f>
        <v>65312544.6144</v>
      </c>
      <c r="C5" s="15" t="n">
        <f aca="false">B5/SUM($B$5:$B$10)</f>
        <v>0.342857142857143</v>
      </c>
      <c r="D5" s="16" t="n">
        <f aca="false">B5*('2. Assumptions'!$B$12-'2. Assumptions'!$B$13)/'2. Assumptions'!$B$12*((1-(1+'2. Assumptions'!$B$11)^-('2. Assumptions'!$B$12-'2. Assumptions'!$B$13))/'2. Assumptions'!$B$11)/('2. Assumptions'!$B$12-'2. Assumptions'!$B$13)</f>
        <v>21379362.7258845</v>
      </c>
      <c r="E5" s="7" t="s">
        <v>147</v>
      </c>
    </row>
    <row r="6" customFormat="false" ht="45.75" hidden="false" customHeight="true" outlineLevel="0" collapsed="false">
      <c r="A6" s="0" t="s">
        <v>87</v>
      </c>
      <c r="B6" s="16" t="n">
        <f aca="false">'2. Assumptions'!$B$16*'2. Assumptions'!$B$8*('2. Assumptions'!$B$7*74023+(1-'2. Assumptions'!$B$7)*74023*(1+'2. Assumptions'!$B$6))</f>
        <v>39187420.8896</v>
      </c>
      <c r="C6" s="15" t="n">
        <f aca="false">B6/SUM($B$5:$B$10)</f>
        <v>0.205713729903984</v>
      </c>
      <c r="D6" s="16" t="n">
        <f aca="false">B6*('2. Assumptions'!$B$12-'2. Assumptions'!$B$13)/'2. Assumptions'!$B$12*((1-(1+'2. Assumptions'!$B$11)^-('2. Assumptions'!$B$12-'2. Assumptions'!$B$13))/'2. Assumptions'!$B$11)/('2. Assumptions'!$B$12-'2. Assumptions'!$B$13)</f>
        <v>12827582.9771597</v>
      </c>
      <c r="E6" s="7" t="s">
        <v>148</v>
      </c>
    </row>
    <row r="7" customFormat="false" ht="45.75" hidden="false" customHeight="true" outlineLevel="0" collapsed="false">
      <c r="A7" s="0" t="s">
        <v>88</v>
      </c>
      <c r="B7" s="16" t="n">
        <f aca="false">'2. Assumptions'!$B$16*'2. Assumptions'!$B$8*('2. Assumptions'!$B$7*61686+(1-'2. Assumptions'!$B$7)*61686*(1+'2. Assumptions'!$B$6))</f>
        <v>32656272.3072</v>
      </c>
      <c r="C7" s="15" t="n">
        <f aca="false">B7/SUM($B$5:$B$10)</f>
        <v>0.171428571428571</v>
      </c>
      <c r="D7" s="16" t="n">
        <f aca="false">B7*('2. Assumptions'!$B$12-'2. Assumptions'!$B$13)/'2. Assumptions'!$B$12*((1-(1+'2. Assumptions'!$B$11)^-('2. Assumptions'!$B$12-'2. Assumptions'!$B$13))/'2. Assumptions'!$B$11)/('2. Assumptions'!$B$12-'2. Assumptions'!$B$13)</f>
        <v>10689681.3629423</v>
      </c>
      <c r="E7" s="7" t="s">
        <v>149</v>
      </c>
    </row>
    <row r="8" customFormat="false" ht="45.75" hidden="false" customHeight="true" outlineLevel="0" collapsed="false">
      <c r="A8" s="0" t="s">
        <v>150</v>
      </c>
      <c r="B8" s="16" t="n">
        <f aca="false">'2. Assumptions'!$B$16*'2. Assumptions'!$B$8*('2. Assumptions'!$B$7*51405+(1-'2. Assumptions'!$B$7)*51405*(1+'2. Assumptions'!$B$6))</f>
        <v>27213560.256</v>
      </c>
      <c r="C8" s="15" t="n">
        <f aca="false">B8/SUM($B$5:$B$10)</f>
        <v>0.142857142857143</v>
      </c>
      <c r="D8" s="16" t="n">
        <f aca="false">B8*('2. Assumptions'!$B$12-'2. Assumptions'!$B$13)/'2. Assumptions'!$B$12*((1-(1+'2. Assumptions'!$B$11)^-('2. Assumptions'!$B$12-'2. Assumptions'!$B$13))/'2. Assumptions'!$B$11)/('2. Assumptions'!$B$12-'2. Assumptions'!$B$13)</f>
        <v>8908067.80245188</v>
      </c>
      <c r="E8" s="7" t="s">
        <v>151</v>
      </c>
    </row>
    <row r="9" customFormat="false" ht="45.75" hidden="false" customHeight="true" outlineLevel="0" collapsed="false">
      <c r="A9" s="0" t="s">
        <v>90</v>
      </c>
      <c r="B9" s="16" t="n">
        <f aca="false">'2. Assumptions'!$B$16*'2. Assumptions'!$B$8*('2. Assumptions'!$B$7*32899+(1-'2. Assumptions'!$B$7)*32899*(1+'2. Assumptions'!$B$6))</f>
        <v>17416572.6848</v>
      </c>
      <c r="C9" s="15" t="n">
        <f aca="false">B9/SUM($B$5:$B$10)</f>
        <v>0.0914280156182695</v>
      </c>
      <c r="D9" s="16" t="n">
        <f aca="false">B9*('2. Assumptions'!$B$12-'2. Assumptions'!$B$13)/'2. Assumptions'!$B$12*((1-(1+'2. Assumptions'!$B$11)^-('2. Assumptions'!$B$12-'2. Assumptions'!$B$13))/'2. Assumptions'!$B$11)/('2. Assumptions'!$B$12-'2. Assumptions'!$B$13)</f>
        <v>5701128.73519822</v>
      </c>
      <c r="E9" s="7" t="s">
        <v>152</v>
      </c>
    </row>
    <row r="10" customFormat="false" ht="45.75" hidden="false" customHeight="true" outlineLevel="0" collapsed="false">
      <c r="A10" s="0" t="s">
        <v>91</v>
      </c>
      <c r="B10" s="16" t="n">
        <f aca="false">'2. Assumptions'!$B$16*'2. Assumptions'!$B$8*('2. Assumptions'!$B$7*16450+(1-'2. Assumptions'!$B$7)*16450*(1+'2. Assumptions'!$B$6))</f>
        <v>8708551.04</v>
      </c>
      <c r="C10" s="15" t="n">
        <f aca="false">B10/SUM($B$5:$B$10)</f>
        <v>0.0457153973348896</v>
      </c>
      <c r="D10" s="16" t="n">
        <f aca="false">B10*('2. Assumptions'!$B$12-'2. Assumptions'!$B$13)/'2. Assumptions'!$B$12*((1-(1+'2. Assumptions'!$B$11)^-('2. Assumptions'!$B$12-'2. Assumptions'!$B$13))/'2. Assumptions'!$B$11)/('2. Assumptions'!$B$12-'2. Assumptions'!$B$13)</f>
        <v>2850651.01352657</v>
      </c>
      <c r="E10" s="7" t="s">
        <v>153</v>
      </c>
    </row>
    <row r="11" customFormat="false" ht="15" hidden="false" customHeight="false" outlineLevel="0" collapsed="false">
      <c r="A11" s="17" t="s">
        <v>92</v>
      </c>
      <c r="B11" s="19" t="n">
        <f aca="false">SUM(B5:B10)</f>
        <v>190494921.792</v>
      </c>
      <c r="C11" s="18" t="n">
        <f aca="false">SUM(C5:C10)</f>
        <v>1</v>
      </c>
      <c r="D11" s="19" t="n">
        <f aca="false">SUM(D5:D10)</f>
        <v>62356474.6171631</v>
      </c>
      <c r="E11" s="3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4"/>
  </cols>
  <sheetData>
    <row r="1" customFormat="false" ht="18.55" hidden="false" customHeight="false" outlineLevel="0" collapsed="false">
      <c r="A1" s="1" t="s">
        <v>154</v>
      </c>
    </row>
    <row r="2" customFormat="false" ht="15" hidden="false" customHeight="false" outlineLevel="0" collapsed="false">
      <c r="A2" s="2" t="s">
        <v>155</v>
      </c>
    </row>
    <row r="4" customFormat="false" ht="30" hidden="false" customHeight="true" outlineLevel="0" collapsed="false">
      <c r="A4" s="3" t="s">
        <v>156</v>
      </c>
      <c r="B4" s="32" t="n">
        <v>0.05</v>
      </c>
      <c r="C4" s="32" t="n">
        <v>0.1</v>
      </c>
      <c r="D4" s="32" t="n">
        <v>0.2</v>
      </c>
      <c r="E4" s="32" t="n">
        <v>0.35</v>
      </c>
      <c r="F4" s="32" t="n">
        <v>0.5</v>
      </c>
    </row>
    <row r="5" customFormat="false" ht="15" hidden="false" customHeight="false" outlineLevel="0" collapsed="false">
      <c r="A5" s="33" t="n">
        <v>0.01</v>
      </c>
      <c r="B5" s="34" t="n">
        <f aca="false">'2. Assumptions'!$B$16*$A5*(B$4*'2. Assumptions'!$B$5+(1-B$4)*'2. Assumptions'!$B$25)/1000000</f>
        <v>48.027321384</v>
      </c>
      <c r="C5" s="34" t="n">
        <f aca="false">'2. Assumptions'!$B$16*$A5*(C$4*'2. Assumptions'!$B$5+(1-C$4)*'2. Assumptions'!$B$25)/1000000</f>
        <v>47.623730448</v>
      </c>
      <c r="D5" s="34" t="n">
        <f aca="false">'2. Assumptions'!$B$16*$A5*(D$4*'2. Assumptions'!$B$5+(1-D$4)*'2. Assumptions'!$B$25)/1000000</f>
        <v>46.816548576</v>
      </c>
      <c r="E5" s="34" t="n">
        <f aca="false">'2. Assumptions'!$B$16*$A5*(E$4*'2. Assumptions'!$B$5+(1-E$4)*'2. Assumptions'!$B$25)/1000000</f>
        <v>45.605775768</v>
      </c>
      <c r="F5" s="34" t="n">
        <f aca="false">'2. Assumptions'!$B$16*$A5*(F$4*'2. Assumptions'!$B$5+(1-F$4)*'2. Assumptions'!$B$25)/1000000</f>
        <v>44.39500296</v>
      </c>
    </row>
    <row r="6" customFormat="false" ht="15" hidden="false" customHeight="false" outlineLevel="0" collapsed="false">
      <c r="A6" s="33" t="n">
        <v>0.018</v>
      </c>
      <c r="B6" s="34" t="n">
        <f aca="false">'2. Assumptions'!$B$16*$A6*(B$4*'2. Assumptions'!$B$5+(1-B$4)*'2. Assumptions'!$B$25)/1000000</f>
        <v>86.4491784912</v>
      </c>
      <c r="C6" s="34" t="n">
        <f aca="false">'2. Assumptions'!$B$16*$A6*(C$4*'2. Assumptions'!$B$5+(1-C$4)*'2. Assumptions'!$B$25)/1000000</f>
        <v>85.7227148064</v>
      </c>
      <c r="D6" s="34" t="n">
        <f aca="false">'2. Assumptions'!$B$16*$A6*(D$4*'2. Assumptions'!$B$5+(1-D$4)*'2. Assumptions'!$B$25)/1000000</f>
        <v>84.2697874368</v>
      </c>
      <c r="E6" s="34" t="n">
        <f aca="false">'2. Assumptions'!$B$16*$A6*(E$4*'2. Assumptions'!$B$5+(1-E$4)*'2. Assumptions'!$B$25)/1000000</f>
        <v>82.0903963824</v>
      </c>
      <c r="F6" s="34" t="n">
        <f aca="false">'2. Assumptions'!$B$16*$A6*(F$4*'2. Assumptions'!$B$5+(1-F$4)*'2. Assumptions'!$B$25)/1000000</f>
        <v>79.911005328</v>
      </c>
    </row>
    <row r="7" customFormat="false" ht="15" hidden="false" customHeight="false" outlineLevel="0" collapsed="false">
      <c r="A7" s="33" t="n">
        <v>0.027</v>
      </c>
      <c r="B7" s="34" t="n">
        <f aca="false">'2. Assumptions'!$B$16*$A7*(B$4*'2. Assumptions'!$B$5+(1-B$4)*'2. Assumptions'!$B$25)/1000000</f>
        <v>129.6737677368</v>
      </c>
      <c r="C7" s="34" t="n">
        <f aca="false">'2. Assumptions'!$B$16*$A7*(C$4*'2. Assumptions'!$B$5+(1-C$4)*'2. Assumptions'!$B$25)/1000000</f>
        <v>128.5840722096</v>
      </c>
      <c r="D7" s="34" t="n">
        <f aca="false">'2. Assumptions'!$B$16*$A7*(D$4*'2. Assumptions'!$B$5+(1-D$4)*'2. Assumptions'!$B$25)/1000000</f>
        <v>126.4046811552</v>
      </c>
      <c r="E7" s="34" t="n">
        <f aca="false">'2. Assumptions'!$B$16*$A7*(E$4*'2. Assumptions'!$B$5+(1-E$4)*'2. Assumptions'!$B$25)/1000000</f>
        <v>123.1355945736</v>
      </c>
      <c r="F7" s="34" t="n">
        <f aca="false">'2. Assumptions'!$B$16*$A7*(F$4*'2. Assumptions'!$B$5+(1-F$4)*'2. Assumptions'!$B$25)/1000000</f>
        <v>119.866507992</v>
      </c>
    </row>
    <row r="8" customFormat="false" ht="15" hidden="false" customHeight="false" outlineLevel="0" collapsed="false">
      <c r="A8" s="33" t="n">
        <v>0.03</v>
      </c>
      <c r="B8" s="34" t="n">
        <f aca="false">'2. Assumptions'!$B$16*$A8*(B$4*'2. Assumptions'!$B$5+(1-B$4)*'2. Assumptions'!$B$25)/1000000</f>
        <v>144.081964152</v>
      </c>
      <c r="C8" s="34" t="n">
        <f aca="false">'2. Assumptions'!$B$16*$A8*(C$4*'2. Assumptions'!$B$5+(1-C$4)*'2. Assumptions'!$B$25)/1000000</f>
        <v>142.871191344</v>
      </c>
      <c r="D8" s="34" t="n">
        <f aca="false">'2. Assumptions'!$B$16*$A8*(D$4*'2. Assumptions'!$B$5+(1-D$4)*'2. Assumptions'!$B$25)/1000000</f>
        <v>140.449645728</v>
      </c>
      <c r="E8" s="34" t="n">
        <f aca="false">'2. Assumptions'!$B$16*$A8*(E$4*'2. Assumptions'!$B$5+(1-E$4)*'2. Assumptions'!$B$25)/1000000</f>
        <v>136.817327304</v>
      </c>
      <c r="F8" s="34" t="n">
        <f aca="false">'2. Assumptions'!$B$16*$A8*(F$4*'2. Assumptions'!$B$5+(1-F$4)*'2. Assumptions'!$B$25)/1000000</f>
        <v>133.18500888</v>
      </c>
    </row>
    <row r="9" customFormat="false" ht="15" hidden="false" customHeight="false" outlineLevel="0" collapsed="false">
      <c r="A9" s="33" t="n">
        <v>0.036</v>
      </c>
      <c r="B9" s="34" t="n">
        <f aca="false">'2. Assumptions'!$B$16*$A9*(B$4*'2. Assumptions'!$B$5+(1-B$4)*'2. Assumptions'!$B$25)/1000000</f>
        <v>172.8983569824</v>
      </c>
      <c r="C9" s="34" t="n">
        <f aca="false">'2. Assumptions'!$B$16*$A9*(C$4*'2. Assumptions'!$B$5+(1-C$4)*'2. Assumptions'!$B$25)/1000000</f>
        <v>171.4454296128</v>
      </c>
      <c r="D9" s="34" t="n">
        <f aca="false">'2. Assumptions'!$B$16*$A9*(D$4*'2. Assumptions'!$B$5+(1-D$4)*'2. Assumptions'!$B$25)/1000000</f>
        <v>168.5395748736</v>
      </c>
      <c r="E9" s="34" t="n">
        <f aca="false">'2. Assumptions'!$B$16*$A9*(E$4*'2. Assumptions'!$B$5+(1-E$4)*'2. Assumptions'!$B$25)/1000000</f>
        <v>164.1807927648</v>
      </c>
      <c r="F9" s="34" t="n">
        <f aca="false">'2. Assumptions'!$B$16*$A9*(F$4*'2. Assumptions'!$B$5+(1-F$4)*'2. Assumptions'!$B$25)/1000000</f>
        <v>159.822010656</v>
      </c>
    </row>
    <row r="10" customFormat="false" ht="15" hidden="false" customHeight="false" outlineLevel="0" collapsed="false">
      <c r="A10" s="33" t="n">
        <v>0.04</v>
      </c>
      <c r="B10" s="34" t="n">
        <f aca="false">'2. Assumptions'!$B$16*$A10*(B$4*'2. Assumptions'!$B$5+(1-B$4)*'2. Assumptions'!$B$25)/1000000</f>
        <v>192.109285536</v>
      </c>
      <c r="C10" s="35" t="n">
        <f aca="false">'2. Assumptions'!$B$16*$A10*(C$4*'2. Assumptions'!$B$5+(1-C$4)*'2. Assumptions'!$B$25)/1000000</f>
        <v>190.494921792</v>
      </c>
      <c r="D10" s="34" t="n">
        <f aca="false">'2. Assumptions'!$B$16*$A10*(D$4*'2. Assumptions'!$B$5+(1-D$4)*'2. Assumptions'!$B$25)/1000000</f>
        <v>187.266194304</v>
      </c>
      <c r="E10" s="34" t="n">
        <f aca="false">'2. Assumptions'!$B$16*$A10*(E$4*'2. Assumptions'!$B$5+(1-E$4)*'2. Assumptions'!$B$25)/1000000</f>
        <v>182.423103072</v>
      </c>
      <c r="F10" s="34" t="n">
        <f aca="false">'2. Assumptions'!$B$16*$A10*(F$4*'2. Assumptions'!$B$5+(1-F$4)*'2. Assumptions'!$B$25)/1000000</f>
        <v>177.58001184</v>
      </c>
    </row>
    <row r="11" customFormat="false" ht="15" hidden="false" customHeight="false" outlineLevel="0" collapsed="false">
      <c r="A11" s="33" t="n">
        <v>0.05</v>
      </c>
      <c r="B11" s="34" t="n">
        <f aca="false">'2. Assumptions'!$B$16*$A11*(B$4*'2. Assumptions'!$B$5+(1-B$4)*'2. Assumptions'!$B$25)/1000000</f>
        <v>240.13660692</v>
      </c>
      <c r="C11" s="34" t="n">
        <f aca="false">'2. Assumptions'!$B$16*$A11*(C$4*'2. Assumptions'!$B$5+(1-C$4)*'2. Assumptions'!$B$25)/1000000</f>
        <v>238.11865224</v>
      </c>
      <c r="D11" s="34" t="n">
        <f aca="false">'2. Assumptions'!$B$16*$A11*(D$4*'2. Assumptions'!$B$5+(1-D$4)*'2. Assumptions'!$B$25)/1000000</f>
        <v>234.08274288</v>
      </c>
      <c r="E11" s="34" t="n">
        <f aca="false">'2. Assumptions'!$B$16*$A11*(E$4*'2. Assumptions'!$B$5+(1-E$4)*'2. Assumptions'!$B$25)/1000000</f>
        <v>228.02887884</v>
      </c>
      <c r="F11" s="34" t="n">
        <f aca="false">'2. Assumptions'!$B$16*$A11*(F$4*'2. Assumptions'!$B$5+(1-F$4)*'2. Assumptions'!$B$25)/1000000</f>
        <v>221.9750148</v>
      </c>
    </row>
    <row r="13" customFormat="false" ht="15" hidden="false" customHeight="false" outlineLevel="0" collapsed="false">
      <c r="A13" s="2" t="s">
        <v>157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2"/>
    <col collapsed="false" customWidth="true" hidden="false" outlineLevel="0" max="2" min="2" style="0" width="78"/>
  </cols>
  <sheetData>
    <row r="1" customFormat="false" ht="18.55" hidden="false" customHeight="false" outlineLevel="0" collapsed="false">
      <c r="A1" s="1" t="s">
        <v>158</v>
      </c>
    </row>
    <row r="2" customFormat="false" ht="15" hidden="false" customHeight="false" outlineLevel="0" collapsed="false">
      <c r="A2" s="2" t="s">
        <v>159</v>
      </c>
    </row>
    <row r="4" customFormat="false" ht="30" hidden="false" customHeight="true" outlineLevel="0" collapsed="false">
      <c r="A4" s="3" t="s">
        <v>33</v>
      </c>
      <c r="B4" s="3" t="s">
        <v>160</v>
      </c>
    </row>
    <row r="5" customFormat="false" ht="30" hidden="false" customHeight="true" outlineLevel="0" collapsed="false">
      <c r="A5" s="5" t="s">
        <v>161</v>
      </c>
      <c r="B5" s="36" t="s">
        <v>162</v>
      </c>
    </row>
    <row r="6" customFormat="false" ht="30" hidden="false" customHeight="true" outlineLevel="0" collapsed="false">
      <c r="A6" s="5" t="s">
        <v>163</v>
      </c>
      <c r="B6" s="36" t="s">
        <v>164</v>
      </c>
    </row>
    <row r="7" customFormat="false" ht="30" hidden="false" customHeight="true" outlineLevel="0" collapsed="false">
      <c r="A7" s="5" t="s">
        <v>165</v>
      </c>
      <c r="B7" s="36" t="s">
        <v>166</v>
      </c>
    </row>
    <row r="8" customFormat="false" ht="30" hidden="false" customHeight="true" outlineLevel="0" collapsed="false">
      <c r="A8" s="5" t="s">
        <v>167</v>
      </c>
      <c r="B8" s="36" t="s">
        <v>168</v>
      </c>
    </row>
    <row r="9" customFormat="false" ht="30" hidden="false" customHeight="true" outlineLevel="0" collapsed="false">
      <c r="A9" s="5" t="s">
        <v>169</v>
      </c>
      <c r="B9" s="36" t="s">
        <v>170</v>
      </c>
    </row>
    <row r="10" customFormat="false" ht="30" hidden="false" customHeight="true" outlineLevel="0" collapsed="false">
      <c r="A10" s="5" t="s">
        <v>171</v>
      </c>
      <c r="B10" s="36" t="s">
        <v>172</v>
      </c>
    </row>
    <row r="11" customFormat="false" ht="30" hidden="false" customHeight="true" outlineLevel="0" collapsed="false">
      <c r="A11" s="5" t="s">
        <v>173</v>
      </c>
      <c r="B11" s="36" t="s">
        <v>174</v>
      </c>
    </row>
    <row r="12" customFormat="false" ht="30" hidden="false" customHeight="true" outlineLevel="0" collapsed="false">
      <c r="A12" s="5" t="s">
        <v>175</v>
      </c>
      <c r="B12" s="36" t="s">
        <v>176</v>
      </c>
    </row>
    <row r="13" customFormat="false" ht="30" hidden="false" customHeight="true" outlineLevel="0" collapsed="false">
      <c r="A13" s="5" t="s">
        <v>177</v>
      </c>
      <c r="B13" s="36" t="s">
        <v>178</v>
      </c>
    </row>
    <row r="14" customFormat="false" ht="30" hidden="false" customHeight="true" outlineLevel="0" collapsed="false">
      <c r="A14" s="5" t="s">
        <v>179</v>
      </c>
      <c r="B14" s="36" t="s">
        <v>180</v>
      </c>
    </row>
    <row r="15" customFormat="false" ht="30" hidden="false" customHeight="true" outlineLevel="0" collapsed="false">
      <c r="A15" s="5" t="s">
        <v>181</v>
      </c>
      <c r="B15" s="36" t="s">
        <v>182</v>
      </c>
    </row>
    <row r="16" customFormat="false" ht="30" hidden="false" customHeight="true" outlineLevel="0" collapsed="false">
      <c r="A16" s="5" t="s">
        <v>183</v>
      </c>
      <c r="B16" s="36" t="s">
        <v>184</v>
      </c>
    </row>
    <row r="18" customFormat="false" ht="15" hidden="false" customHeight="false" outlineLevel="0" collapsed="false">
      <c r="A18" s="2" t="s">
        <v>185</v>
      </c>
    </row>
  </sheetData>
  <hyperlinks>
    <hyperlink ref="B5" r:id="rId1" display="https://nationalfasd.org.uk/the-cost-of-inaction-on-fasd/"/>
    <hyperlink ref="B6" r:id="rId2" display="https://pmc.ncbi.nlm.nih.gov/articles/PMC9292152/"/>
    <hyperlink ref="B7" r:id="rId3" display="https://pubmed.ncbi.nlm.nih.gov/30383615/"/>
    <hyperlink ref="B8" r:id="rId4" display="https://nationalfasd.org.uk/learn-more/practitioners/social-care-workers/"/>
    <hyperlink ref="B9" r:id="rId5" display="https://www.gov.uk/government/publications/fetal-alcohol-spectrum-disorder-health-needs-assessment/fetal-alcohol-spectrum-disorder-health-needs-assessment"/>
    <hyperlink ref="B10" r:id="rId6" display="https://cambridgeshireinsight.org.uk/2024-cyp-jsna/"/>
    <hyperlink ref="B11" r:id="rId7" display="https://learntogether.peterborough.gov.uk/asset-library/fasd-pcc-send-forum-08.05.25.pdf"/>
    <hyperlink ref="B12" r:id="rId8" display="https://learntogether.peterborough.gov.uk/asset-library/virtual-school-annual-report-2024-25.pdf"/>
    <hyperlink ref="B13" r:id="rId9" display="https://www.nomisweb.co.uk/"/>
    <hyperlink ref="B14" r:id="rId10" display="https://www.gov.uk/government/publications/the-green-book-appraisal-and-evaluation-in-central-governent"/>
    <hyperlink ref="B15" r:id="rId11" display="https://www.pinpoint-cambs.org.uk/information-hub/your-childs-needs/fetal-alcohol-spectrum-disorder/"/>
    <hyperlink ref="B16" r:id="rId12" display="https://www.facebook.com/groups/1320037864718272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2026-09-01T13:59:34Z</dcterms:created>
  <dc:creator>openpyxl</dc:creator>
  <dc:description/>
  <dc:language>en-US</dc:language>
  <cp:lastModifiedBy/>
  <dcterms:modified xsi:type="dcterms:W3CDTF">2026-09-01T13:59:34Z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