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ara_fil\Documents\FY-2025\0_CONTRATS_2025\83496067_70-71_Etude &amp; Contruction SARRES\DAO_PPM_SARES ML\"/>
    </mc:Choice>
  </mc:AlternateContent>
  <xr:revisionPtr revIDLastSave="0" documentId="13_ncr:1_{F158EED2-44DE-4D53-97F1-90CA6D3E2A67}" xr6:coauthVersionLast="47" xr6:coauthVersionMax="47" xr10:uidLastSave="{00000000-0000-0000-0000-000000000000}"/>
  <bookViews>
    <workbookView xWindow="-108" yWindow="-108" windowWidth="23256" windowHeight="12456" activeTab="3" xr2:uid="{F38F7950-0580-41E2-8528-0A2C4EB2BE69}"/>
  </bookViews>
  <sheets>
    <sheet name="Lot 1_RECAP" sheetId="3" r:id="rId1"/>
    <sheet name="Lot 2_RECAP" sheetId="18" r:id="rId2"/>
    <sheet name="Lot 3_RECAP" sheetId="20" r:id="rId3"/>
    <sheet name="DQE_Lot 1-3" sheetId="17" r:id="rId4"/>
  </sheets>
  <externalReferences>
    <externalReference r:id="rId5"/>
    <externalReference r:id="rId6"/>
  </externalReferences>
  <definedNames>
    <definedName name="_Hlk195517341" localSheetId="3">'DQE_Lot 1-3'!#REF!</definedName>
    <definedName name="nextDate">#REF!</definedName>
    <definedName name="pEnd">#REF!</definedName>
    <definedName name="thisDate">#REF!</definedName>
    <definedName name="total_cost">'[1]Worksheet 1 Project budget'!$E$56</definedName>
    <definedName name="total_cost_y1">'[1]Worksheet 1 Project budget'!$I$56</definedName>
    <definedName name="valuevx">42.314159</definedName>
    <definedName name="vertex42_copyright" hidden="1">"© 2017 Vertex42 LLC"</definedName>
    <definedName name="vertex42_id" hidden="1">"project-planner.xlsx"</definedName>
    <definedName name="vertex42_title" hidden="1">"Project Planner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8" l="1"/>
  <c r="E22" i="18"/>
  <c r="E21" i="18"/>
  <c r="E20" i="18"/>
  <c r="E24" i="18" s="1"/>
  <c r="E17" i="18"/>
  <c r="D17" i="18"/>
  <c r="D16" i="18"/>
  <c r="E16" i="18" s="1"/>
  <c r="D15" i="18"/>
  <c r="E15" i="18" s="1"/>
  <c r="E14" i="18"/>
  <c r="D14" i="18"/>
  <c r="E13" i="18"/>
  <c r="D11" i="18"/>
  <c r="E11" i="18" s="1"/>
  <c r="E27" i="20" l="1"/>
  <c r="E18" i="18"/>
  <c r="E26" i="18" s="1"/>
  <c r="F199" i="17" l="1"/>
  <c r="F198" i="17"/>
  <c r="F197" i="17"/>
  <c r="F196" i="17"/>
  <c r="F195" i="17"/>
  <c r="F192" i="17"/>
  <c r="F191" i="17"/>
  <c r="F193" i="17" s="1"/>
  <c r="D187" i="17"/>
  <c r="F187" i="17" s="1"/>
  <c r="D184" i="17"/>
  <c r="F184" i="17" s="1"/>
  <c r="D183" i="17"/>
  <c r="F183" i="17" s="1"/>
  <c r="D182" i="17"/>
  <c r="F182" i="17" s="1"/>
  <c r="D181" i="17"/>
  <c r="F181" i="17" s="1"/>
  <c r="F179" i="17"/>
  <c r="F178" i="17"/>
  <c r="F177" i="17"/>
  <c r="F176" i="17"/>
  <c r="D176" i="17"/>
  <c r="D175" i="17"/>
  <c r="F175" i="17" s="1"/>
  <c r="F172" i="17"/>
  <c r="F171" i="17"/>
  <c r="D170" i="17"/>
  <c r="F170" i="17" s="1"/>
  <c r="F173" i="17" s="1"/>
  <c r="F168" i="17"/>
  <c r="F167" i="17"/>
  <c r="F166" i="17"/>
  <c r="D163" i="17"/>
  <c r="F163" i="17" s="1"/>
  <c r="D162" i="17"/>
  <c r="F162" i="17" s="1"/>
  <c r="D161" i="17"/>
  <c r="F161" i="17" s="1"/>
  <c r="D160" i="17"/>
  <c r="F160" i="17" s="1"/>
  <c r="D159" i="17"/>
  <c r="D188" i="17" s="1"/>
  <c r="F188" i="17" s="1"/>
  <c r="D158" i="17"/>
  <c r="F158" i="17" s="1"/>
  <c r="D155" i="17"/>
  <c r="F155" i="17" s="1"/>
  <c r="D154" i="17"/>
  <c r="F154" i="17" s="1"/>
  <c r="D153" i="17"/>
  <c r="F153" i="17" s="1"/>
  <c r="D152" i="17"/>
  <c r="F152" i="17" s="1"/>
  <c r="D151" i="17"/>
  <c r="F151" i="17" s="1"/>
  <c r="F150" i="17"/>
  <c r="D150" i="17"/>
  <c r="D149" i="17"/>
  <c r="F149" i="17" s="1"/>
  <c r="D148" i="17"/>
  <c r="F148" i="17" s="1"/>
  <c r="D147" i="17"/>
  <c r="F147" i="17" s="1"/>
  <c r="D146" i="17"/>
  <c r="F146" i="17" s="1"/>
  <c r="D142" i="17"/>
  <c r="F142" i="17" s="1"/>
  <c r="F141" i="17"/>
  <c r="D140" i="17"/>
  <c r="F140" i="17" s="1"/>
  <c r="D132" i="17"/>
  <c r="F132" i="17" s="1"/>
  <c r="F131" i="17"/>
  <c r="D131" i="17"/>
  <c r="D130" i="17"/>
  <c r="F130" i="17" s="1"/>
  <c r="D129" i="17"/>
  <c r="F129" i="17" s="1"/>
  <c r="D128" i="17"/>
  <c r="F128" i="17" s="1"/>
  <c r="F127" i="17"/>
  <c r="F126" i="17"/>
  <c r="F125" i="17"/>
  <c r="D124" i="17"/>
  <c r="F124" i="17" s="1"/>
  <c r="D123" i="17"/>
  <c r="F123" i="17" s="1"/>
  <c r="D122" i="17"/>
  <c r="F122" i="17" s="1"/>
  <c r="D121" i="17"/>
  <c r="F121" i="17" s="1"/>
  <c r="F120" i="17"/>
  <c r="D120" i="17"/>
  <c r="D119" i="17"/>
  <c r="F119" i="17" s="1"/>
  <c r="D118" i="17"/>
  <c r="F118" i="17" s="1"/>
  <c r="D117" i="17"/>
  <c r="F117" i="17" s="1"/>
  <c r="D116" i="17"/>
  <c r="F116" i="17" s="1"/>
  <c r="D115" i="17"/>
  <c r="F115" i="17" s="1"/>
  <c r="D114" i="17"/>
  <c r="F114" i="17" s="1"/>
  <c r="D113" i="17"/>
  <c r="F113" i="17" s="1"/>
  <c r="D112" i="17"/>
  <c r="F112" i="17" s="1"/>
  <c r="D111" i="17"/>
  <c r="F111" i="17" s="1"/>
  <c r="D110" i="17"/>
  <c r="F110" i="17" s="1"/>
  <c r="D109" i="17"/>
  <c r="F109" i="17" s="1"/>
  <c r="D108" i="17"/>
  <c r="F108" i="17" s="1"/>
  <c r="D107" i="17"/>
  <c r="F107" i="17" s="1"/>
  <c r="D106" i="17"/>
  <c r="F106" i="17" s="1"/>
  <c r="F99" i="17"/>
  <c r="D99" i="17"/>
  <c r="D98" i="17"/>
  <c r="F98" i="17" s="1"/>
  <c r="D97" i="17"/>
  <c r="F97" i="17" s="1"/>
  <c r="D96" i="17"/>
  <c r="F96" i="17" s="1"/>
  <c r="D95" i="17"/>
  <c r="F95" i="17" s="1"/>
  <c r="F92" i="17"/>
  <c r="D91" i="17"/>
  <c r="F91" i="17" s="1"/>
  <c r="D90" i="17"/>
  <c r="F90" i="17" s="1"/>
  <c r="D89" i="17"/>
  <c r="F89" i="17" s="1"/>
  <c r="D88" i="17"/>
  <c r="F88" i="17" s="1"/>
  <c r="F86" i="17"/>
  <c r="F85" i="17"/>
  <c r="D84" i="17"/>
  <c r="F84" i="17" s="1"/>
  <c r="F83" i="17"/>
  <c r="D83" i="17"/>
  <c r="F82" i="17"/>
  <c r="D82" i="17"/>
  <c r="D81" i="17"/>
  <c r="F81" i="17" s="1"/>
  <c r="F80" i="17"/>
  <c r="D79" i="17"/>
  <c r="F79" i="17" s="1"/>
  <c r="F77" i="17"/>
  <c r="F76" i="17"/>
  <c r="D75" i="17"/>
  <c r="F75" i="17" s="1"/>
  <c r="D74" i="17"/>
  <c r="F74" i="17" s="1"/>
  <c r="D73" i="17"/>
  <c r="F73" i="17" s="1"/>
  <c r="D72" i="17"/>
  <c r="F72" i="17" s="1"/>
  <c r="D71" i="17"/>
  <c r="F71" i="17" s="1"/>
  <c r="F70" i="17"/>
  <c r="F69" i="17"/>
  <c r="F68" i="17"/>
  <c r="F67" i="17"/>
  <c r="D67" i="17"/>
  <c r="D66" i="17"/>
  <c r="F66" i="17" s="1"/>
  <c r="D65" i="17"/>
  <c r="F65" i="17" s="1"/>
  <c r="D64" i="17"/>
  <c r="F64" i="17" s="1"/>
  <c r="D63" i="17"/>
  <c r="F63" i="17" s="1"/>
  <c r="D62" i="17"/>
  <c r="F62" i="17" s="1"/>
  <c r="F61" i="17"/>
  <c r="F60" i="17"/>
  <c r="F53" i="17"/>
  <c r="F52" i="17"/>
  <c r="F51" i="17"/>
  <c r="F54" i="17" s="1"/>
  <c r="F50" i="17"/>
  <c r="F49" i="17"/>
  <c r="F46" i="17"/>
  <c r="F45" i="17"/>
  <c r="F44" i="17"/>
  <c r="F43" i="17"/>
  <c r="F42" i="17"/>
  <c r="F41" i="17"/>
  <c r="F40" i="17"/>
  <c r="F39" i="17"/>
  <c r="F38" i="17"/>
  <c r="F37" i="17"/>
  <c r="F36" i="17"/>
  <c r="F33" i="17"/>
  <c r="F32" i="17"/>
  <c r="F31" i="17"/>
  <c r="F34" i="17" s="1"/>
  <c r="F28" i="17"/>
  <c r="F29" i="17" s="1"/>
  <c r="F26" i="17"/>
  <c r="F25" i="17"/>
  <c r="F24" i="17"/>
  <c r="F23" i="17"/>
  <c r="F22" i="17"/>
  <c r="F21" i="17"/>
  <c r="F20" i="17"/>
  <c r="F17" i="17"/>
  <c r="F16" i="17"/>
  <c r="F15" i="17"/>
  <c r="F18" i="17" s="1"/>
  <c r="E23" i="3"/>
  <c r="E22" i="3"/>
  <c r="E21" i="3"/>
  <c r="E20" i="3"/>
  <c r="E19" i="3"/>
  <c r="E12" i="3"/>
  <c r="E14" i="3"/>
  <c r="E15" i="3"/>
  <c r="E16" i="3"/>
  <c r="E13" i="3"/>
  <c r="D143" i="17" l="1"/>
  <c r="F143" i="17" s="1"/>
  <c r="F133" i="17"/>
  <c r="F134" i="17" s="1"/>
  <c r="F189" i="17"/>
  <c r="F47" i="17"/>
  <c r="F55" i="17" s="1"/>
  <c r="F159" i="17"/>
  <c r="F164" i="17" s="1"/>
  <c r="F200" i="17"/>
  <c r="F100" i="17"/>
  <c r="F144" i="17"/>
  <c r="F156" i="17"/>
  <c r="F185" i="17"/>
  <c r="F93" i="17"/>
  <c r="F101" i="17" s="1"/>
  <c r="F201" i="17" l="1"/>
  <c r="F7" i="17"/>
  <c r="F6" i="17"/>
  <c r="F5" i="17"/>
  <c r="F8" i="17" s="1"/>
  <c r="E10" i="3" l="1"/>
  <c r="E17" i="3" s="1"/>
  <c r="E25" i="3" s="1"/>
</calcChain>
</file>

<file path=xl/sharedStrings.xml><?xml version="1.0" encoding="utf-8"?>
<sst xmlns="http://schemas.openxmlformats.org/spreadsheetml/2006/main" count="611" uniqueCount="342">
  <si>
    <t>Foration</t>
  </si>
  <si>
    <t xml:space="preserve">Foration de formations meubles au Rotary 9 ״ 7/8 </t>
  </si>
  <si>
    <t>ml</t>
  </si>
  <si>
    <t xml:space="preserve">Foration en formations cohérentes au MFT de Ø 6 ״ 1/2  </t>
  </si>
  <si>
    <t xml:space="preserve">Fourniture et pose de tubage provisoire de Ø 8 ״  </t>
  </si>
  <si>
    <t>Fourniture et mise en place de tubes PVC Ø125-140 mm, filetés, pression d’écrasement 10 bars, qualité alimentaire, plein.</t>
  </si>
  <si>
    <t>Fourniture et mise en place de tubes PVC Ø125-140 mm, filetés, pression d’écrasement 10 bars, qualité alimentaire, crépiné sur toute la hauteur, fente ouverte 1 mm.</t>
  </si>
  <si>
    <t xml:space="preserve">Fourniture et mise en place d'un bouchon de pied fileté PVC Ø125-140  </t>
  </si>
  <si>
    <t>Fourniture et mise en place d'un massif de gravier siliceux calibré (2-3 mm), y compris le remplissage de l'espace annulaire, sur au moins 3 mètres, avec du sable propre ou du quellon.</t>
  </si>
  <si>
    <t>Comblement du forage du tout-venant y compris la fourniture et la mise en place d'un bouchon de ciment de 3 m de hauteur en tête de colonne captant.</t>
  </si>
  <si>
    <t>Fourniture de la fermeture de forage.</t>
  </si>
  <si>
    <t xml:space="preserve">Développement à l'air lift  </t>
  </si>
  <si>
    <t>h</t>
  </si>
  <si>
    <t>Analyse physico-chimique et bactériologique de l’eau y compris manganèse et arsenic dans les zones à risques</t>
  </si>
  <si>
    <t>ens.</t>
  </si>
  <si>
    <t xml:space="preserve">Clôture grillagée de protection de la tête de forage et de champs photovoltaïque y compris toutes les sujétions de pose et d'ancrage </t>
  </si>
  <si>
    <t>U</t>
  </si>
  <si>
    <t>m3</t>
  </si>
  <si>
    <t>Montant</t>
  </si>
  <si>
    <t>Travaux de réalisation de forage</t>
  </si>
  <si>
    <t>A</t>
  </si>
  <si>
    <t>B</t>
  </si>
  <si>
    <t>Colonne d'exhaure</t>
  </si>
  <si>
    <t>II</t>
  </si>
  <si>
    <t>III</t>
  </si>
  <si>
    <t>EQUIPEMENT DE FORAGE</t>
  </si>
  <si>
    <t>IV</t>
  </si>
  <si>
    <t>DEVELOPPEMENT</t>
  </si>
  <si>
    <t xml:space="preserve"> POMPAGE D'EESAI ET ANALYSE D'EAU</t>
  </si>
  <si>
    <t>VI</t>
  </si>
  <si>
    <t>Fourniture et pose de tête de forage complète en manifold y compris toutes les sujétions de pose des accessoires hydrauliques, des tuyauteries et les raccordements</t>
  </si>
  <si>
    <t>Fourniture et pose de Flotteur</t>
  </si>
  <si>
    <t>Boitier electrique, parafoudre, piquet de terre et accessoires</t>
  </si>
  <si>
    <t>EQUIPEMENTS D'EXHAURE ETSYSTÈME PHOTOVOLTAÏQUE</t>
  </si>
  <si>
    <t>Mise à la terre des équipements</t>
  </si>
  <si>
    <t>RESEAU DE DISTRIBUTION</t>
  </si>
  <si>
    <t>accessoires de plomberie, coude, té, joints</t>
  </si>
  <si>
    <t>N°</t>
  </si>
  <si>
    <t>Unité</t>
  </si>
  <si>
    <t>P.U</t>
  </si>
  <si>
    <t>m²</t>
  </si>
  <si>
    <t>m2</t>
  </si>
  <si>
    <t>Qté</t>
  </si>
  <si>
    <t>DESIGNATION</t>
  </si>
  <si>
    <t>SITE DE ASSOCIATION IRDIGNE, COMMUNE DE KONNA</t>
  </si>
  <si>
    <t xml:space="preserve">Lot 1: </t>
  </si>
  <si>
    <t>Sites</t>
  </si>
  <si>
    <t>SITE DE COOPERATIVE DE FATOMA, COMMUNE DE FATOMA</t>
  </si>
  <si>
    <t>SITE DE SOMADOUGOU SOCIETE SUPER DAKAN, COMMUNE DE SIO</t>
  </si>
  <si>
    <t>Remblais provenant des fouilles</t>
  </si>
  <si>
    <t>Couverture</t>
  </si>
  <si>
    <t>Ens</t>
  </si>
  <si>
    <t>Sous Total A</t>
  </si>
  <si>
    <t>AIRE DE LAVAGE</t>
  </si>
  <si>
    <t>Nettoyage, décapage de la terre végétale</t>
  </si>
  <si>
    <t>Fouille en pleine masse ép.= 45cm</t>
  </si>
  <si>
    <t>Maçonnerie en briques pleines de 20x20x40 en fondation</t>
  </si>
  <si>
    <t>Maçonnerie d'agglos pleins pour pieds de paillasse (support evier)</t>
  </si>
  <si>
    <t xml:space="preserve">Remblai d'apport </t>
  </si>
  <si>
    <t>Fourniture et pose de  tuyaux d'évacuation d'eau PVC 100</t>
  </si>
  <si>
    <t>Cole PVC</t>
  </si>
  <si>
    <t>boîte</t>
  </si>
  <si>
    <t xml:space="preserve">Fouille </t>
  </si>
  <si>
    <t>Moellons</t>
  </si>
  <si>
    <t>Tuyau PVC 100 d'évacuation des eaux vannes</t>
  </si>
  <si>
    <t>Béton pour fermeture du puisard</t>
  </si>
  <si>
    <t>BA  pour Courronnement au dessus du muret dose a 350 kg/m3</t>
  </si>
  <si>
    <t>Enduit intérieur et extérieur sur muret</t>
  </si>
  <si>
    <t>F/P de robinet de puisage toutes sujétion</t>
  </si>
  <si>
    <t>F/P tôle de  bac 7.20 kg</t>
  </si>
  <si>
    <t>F/P de tuyau PVC diam. 63 pour évacuation eau vanne</t>
  </si>
  <si>
    <t>F/P de robinet de puisage</t>
  </si>
  <si>
    <t>Sous Total B</t>
  </si>
  <si>
    <t>AIRE DE SECHAGE</t>
  </si>
  <si>
    <t>Fouille en pleine masse ép.= 13cm</t>
  </si>
  <si>
    <t>Remblais d'apport arrosé, compacté</t>
  </si>
  <si>
    <t>Maçonnerie d'agglos pleins de 20x20x40 cm</t>
  </si>
  <si>
    <t>Enduit sur muret</t>
  </si>
  <si>
    <t>Dalle de depotoir</t>
  </si>
  <si>
    <t>Fouille pour semelle isolée 0,6*0,6*0,60</t>
  </si>
  <si>
    <t>Fouilles en rigole 40X40 cm</t>
  </si>
  <si>
    <t>BA pour poteaux d'attentes dosé à 350 kg/m3</t>
  </si>
  <si>
    <t>Enduit intérieur et extérieur sur les maçonneries</t>
  </si>
  <si>
    <t>BA  pour Courronnement au dessus du mur dose a 350 kg/m3</t>
  </si>
  <si>
    <t>ens</t>
  </si>
  <si>
    <t>Realisation d'un regard avec couvercle au milieu de la dalle pour drainer les eaux de surface à travers un tuyau PVC110 jusqu'au puisard</t>
  </si>
  <si>
    <t>Réalisation d'un reagrd de décantation étanche (50x50x50) entre la dalle et le puisard</t>
  </si>
  <si>
    <t>Béton de propreté dosé à 200 kg/m3, épaisseur 5cm sous le radier du puisard</t>
  </si>
  <si>
    <t>Béton armé pour le radier du puisard , épaisseur 15cm</t>
  </si>
  <si>
    <t>Maçonnerie en briques pleines de 15 à l'intérieur du puisard pour le lixiviat</t>
  </si>
  <si>
    <t>Enduit étanche à l'interieur du puisard</t>
  </si>
  <si>
    <t>Dalle de couverture du puisard en BA, y compris un regard de 40x40cm</t>
  </si>
  <si>
    <t xml:space="preserve">I - TERRASSEMENT </t>
  </si>
  <si>
    <t xml:space="preserve">Nettoyage, decapage, et prép. du terrain </t>
  </si>
  <si>
    <t xml:space="preserve"> Implantation sur chaise </t>
  </si>
  <si>
    <t xml:space="preserve">Fouille pour fosse </t>
  </si>
  <si>
    <t>II - BETONS - MACONNERIE</t>
  </si>
  <si>
    <t>Béton de propreté dosé à 200 kg /m3, ép.= 10cm</t>
  </si>
  <si>
    <t>Béton armé pour radier dosé 350 kg/m3</t>
  </si>
  <si>
    <t>Béton armé pour poteaux de la fosse dosé 350 kg / m3</t>
  </si>
  <si>
    <t xml:space="preserve">Béton armé pour poutre et  longrine dosé à 350 kg/m3 </t>
  </si>
  <si>
    <t>Béton armé pour dallette épaisseur 8 cm dosé à 350 kg /m3</t>
  </si>
  <si>
    <t xml:space="preserve">Maçonnerie d'agglos plein de 15*20*40 cm pour murs de fosse </t>
  </si>
  <si>
    <t>Maçonnerie d'agglos creux  de 15*20*40 cmpour les murs de cabine, mur d'écran et acrotère</t>
  </si>
  <si>
    <t xml:space="preserve">Béton armé pour chainage haut dosé à 350 kg/m3 et couronnement du mur écran </t>
  </si>
  <si>
    <t>Perron d'accès en maçonnerie et béton</t>
  </si>
  <si>
    <t>REVETTEMENTS</t>
  </si>
  <si>
    <t xml:space="preserve">Enduit dosé à 400 kg/m3 sur murs intérieurs et mur de séparation de compartiments de fosse  </t>
  </si>
  <si>
    <t>Enduit intérieur et extérieur dosé à 300 kg/m3 sur les murs en élevation et acrotère</t>
  </si>
  <si>
    <t>Chape lisse (ép = 4 cm) dosage  400 kg/m3</t>
  </si>
  <si>
    <t>Fourniture et pose de carreaux grès cérame dans la  cabine 30 cm x 30 cm antidérapant</t>
  </si>
  <si>
    <t>Fourniture et pose de carreaux  faïences sur murs dans la cabine 20 cm x 30 cm (à 1 m du sol)</t>
  </si>
  <si>
    <t>IV - MINUISSERIE</t>
  </si>
  <si>
    <t xml:space="preserve">Fourniture et pose d'une porte métallique de 0,70m x 1,80 m à 1 battant avec targette et cadenas de sécurité de taille moyenne y compris toute suggestions  </t>
  </si>
  <si>
    <t>Fourniture et pose d'imposte grillagé de 0,65 m x 0,3 m  y compris toutes suggestions</t>
  </si>
  <si>
    <t>Fourniture  et pose de tôle bac 7,20 kg</t>
  </si>
  <si>
    <t>Fourniture et pose de cornière 50x50x5 y compris peinture et toutes sujétions</t>
  </si>
  <si>
    <t>Fourniture et pose de crochets</t>
  </si>
  <si>
    <t>Fourniture et pose de  tuyaux d'aération en PVC 100 de 3 m de hauteur y compris grillage à l'extrémité maintenu par des colliers à visses pour aération du WC</t>
  </si>
  <si>
    <t>Fourniture et pose de tuyau PVC 63 pour l'évacuation</t>
  </si>
  <si>
    <t>Fourniture et pose de Thés PVC 63</t>
  </si>
  <si>
    <t>Fourniture et pose de coude 63</t>
  </si>
  <si>
    <t>Construction d'un puisard de diamètre 2m et de profondeur 1,60m comprenant:</t>
  </si>
  <si>
    <t>Sous Total V</t>
  </si>
  <si>
    <t>Badigeon à la chaux sur maçonnerie</t>
  </si>
  <si>
    <t>Fourniture et pose de la plaque d'identification de l'ouvrage (à fixer sur le bâtiment)</t>
  </si>
  <si>
    <t>Fourniture et pose de plaque d'indication avec symboles (Femme /Homme)</t>
  </si>
  <si>
    <t>Fourniture de gangs</t>
  </si>
  <si>
    <t xml:space="preserve">Fourniture de bidon de 20 litres </t>
  </si>
  <si>
    <t xml:space="preserve">Fourniture de brosse </t>
  </si>
  <si>
    <t xml:space="preserve">Fourniture de Corbeille plastique de 20 litres </t>
  </si>
  <si>
    <t>Fourniture d'un système de lave-mains comprenant un sceau plastique de 30 litres munis de robinet, un support en maçonnerie avec un réceptacle et une savonnière</t>
  </si>
  <si>
    <t>AIRE DE LAVAGE ET SECHAGE</t>
  </si>
  <si>
    <t>ZONE DE COMPOSTAGE</t>
  </si>
  <si>
    <t xml:space="preserve">Essai de pompage longue durée 24 h  </t>
  </si>
  <si>
    <t>Raccordement en eau de la table de lavage en PEHD PN6</t>
  </si>
  <si>
    <t xml:space="preserve">Béton de propreté dosé à 200 kg/m3, épaisseur 5cm pour la dalle composte </t>
  </si>
  <si>
    <t>Film en polyéthylène sous BA de compost</t>
  </si>
  <si>
    <t>Peinture Acrylique en deux couches sur les maçonneries(intérieures et extérieures)</t>
  </si>
  <si>
    <t>F/P cornière 50*50*5 pour pannes</t>
  </si>
  <si>
    <t>Beton de forme legèrement armé dosé à 350 kg/m3 ép. 8cm pour la zone de sechage</t>
  </si>
  <si>
    <t>Rampe d'accès à la dalle du hangar de largeur 2m et longueur 3m</t>
  </si>
  <si>
    <t>Béton armé pour dalles préfabriquées (amovibles) pour vidange</t>
  </si>
  <si>
    <t>Maçonnerie en brique creuse de 15 pour les muret de 1,2 m avec ouvertures (grilles) sur chaque 1m</t>
  </si>
  <si>
    <t>Peinture antirouille plus epoxy sur menuisseries métalliques</t>
  </si>
  <si>
    <t>Peinture antirouille plus époxy sur les ménuiseries métalliques</t>
  </si>
  <si>
    <t>Béton armé dosé à 350 kg/m3pour semelles</t>
  </si>
  <si>
    <t>Béton armé dosé à 350 kg/m3 pour poteaux</t>
  </si>
  <si>
    <t>Fourniture et pose de Tés PVC 100, de coude 100, Cole PVC</t>
  </si>
  <si>
    <t>F/P de carreaux de faïence</t>
  </si>
  <si>
    <t>Fouille en tranchée,Fourniture et pose  d'une conduitee Polyéthylène (PEHD) DN 63 dans les tranchées y compris toutes sujétions pour l'alimentation de la zone de lavage</t>
  </si>
  <si>
    <t>Elévation</t>
  </si>
  <si>
    <t>F/P de poteux métalliques en IPN 80</t>
  </si>
  <si>
    <t xml:space="preserve">F/P de poutres en IPN80 </t>
  </si>
  <si>
    <t>Peinture antirouille plus époxy sur les ménuiseries et profilés métalliques</t>
  </si>
  <si>
    <t>F/P de tuyau polytilène pour A.E.P pour l'alimentation de la zone de lavage</t>
  </si>
  <si>
    <t>Fourniture et pose des Panneaux solaires de 400 Wc de capacité suffissante pour le pompage chacun, y compris superstructure de montage, onduleur câblages divers et toutes suggestions.</t>
  </si>
  <si>
    <t>Fourniture, fouille, pose de tuyaux PVC DN50, PN6, remblai et essais</t>
  </si>
  <si>
    <t>Réalisation de robinets de puisage encastré dans le béton y compris  toutes sujétions pour points d'eau pour arrosage</t>
  </si>
  <si>
    <t>Structure de support de fixation en profilés  HEA 240 mm pour une hauteur de 6 m y compris système de trop plein, encastré dans le massif de béton armé dosé à 350 kg/m3 (semelles = 0,80 x 0,80 x 0,40 à une profondeur de 1,5 m en dessous du Terrain Naturel, poteaux= 0,40 x 0,40 x1,30 qui seront reliés par des longrines de section : 0,40x0,25m)</t>
  </si>
  <si>
    <t>Fourniture et pose de  tuyauterie d'évacuation et de distribution pour les cultures</t>
  </si>
  <si>
    <t>Peinture Acrylique en deux couches sur maçonneries (intérieures et extérieures)</t>
  </si>
  <si>
    <t>Réalisation de puisard pour la lixiviat : fouilles pour le puisard carré dimension intérieure 2x2x1,00 m y compris tuyauterie avec fourniture et pose de bidon de 20 litres pour le stockage du lixiviat</t>
  </si>
  <si>
    <t>Essai de pompage par palier</t>
  </si>
  <si>
    <t>Lot 01 : Etudes pour l’aménagement de périmètres de maraichage et réalisation des équipements nécessaires, y compris leur alimentation en eau pour l’arrosage des communes de Sio, de Fatoma et de Konna – Région de Mopti</t>
  </si>
  <si>
    <t>N° Prix</t>
  </si>
  <si>
    <t xml:space="preserve">Désignation des taches </t>
  </si>
  <si>
    <t>PU</t>
  </si>
  <si>
    <t xml:space="preserve">Prix total </t>
  </si>
  <si>
    <t xml:space="preserve">(en francs CFA) </t>
  </si>
  <si>
    <t>N° prix</t>
  </si>
  <si>
    <t>Désignation du prix</t>
  </si>
  <si>
    <t>Prix Total</t>
  </si>
  <si>
    <t>1.1</t>
  </si>
  <si>
    <t>Etude hydrologique et géophysique de prospection et élaboration du Dossier technique pour la réalisation du forage</t>
  </si>
  <si>
    <t>Forfait</t>
  </si>
  <si>
    <t>1.2</t>
  </si>
  <si>
    <t>Etude et dossier technique du système d’alimentation en eau d’arrosage pour l’exploitation de chaque périmètre de maraichage</t>
  </si>
  <si>
    <t>1.3</t>
  </si>
  <si>
    <t>Etablissement des plans d’aménagement et du dossier technique de chaque périmètre de maraichage</t>
  </si>
  <si>
    <t xml:space="preserve">TOTAL (A) = TA = </t>
  </si>
  <si>
    <t>Construction de 3 bacs de lavage de 1m3</t>
  </si>
  <si>
    <t>Béton armé dosé à 350 kg/m3 pour radier ép.=10cm</t>
  </si>
  <si>
    <t>Béton armé dosé à 350 kg/m3 pour peids droits (murs en voiles) ép.= 10 cm</t>
  </si>
  <si>
    <t>Enduits étanches intérieur et extérieur au mortier de ciment dosé à 350 kg/m3</t>
  </si>
  <si>
    <t>TRANCHE 1 - Etudes</t>
  </si>
  <si>
    <t>TRANCHE 2 - Réalisation</t>
  </si>
  <si>
    <t>I</t>
  </si>
  <si>
    <t>1.4</t>
  </si>
  <si>
    <t>2.1</t>
  </si>
  <si>
    <t>2.2</t>
  </si>
  <si>
    <t>2.3</t>
  </si>
  <si>
    <t>2.4</t>
  </si>
  <si>
    <t>2.5</t>
  </si>
  <si>
    <t>2.6</t>
  </si>
  <si>
    <r>
      <t xml:space="preserve">Fourniture et pose d'un reservoir de </t>
    </r>
    <r>
      <rPr>
        <sz val="11"/>
        <color theme="1"/>
        <rFont val="Calibri"/>
        <family val="2"/>
        <scheme val="minor"/>
      </rPr>
      <t>30</t>
    </r>
    <r>
      <rPr>
        <sz val="11"/>
        <color rgb="FF000000"/>
        <rFont val="Calibri"/>
        <family val="2"/>
        <scheme val="minor"/>
      </rPr>
      <t>m3, tuyauteries, indicaeur de niveau d'eau, raccordements divers peinture a huile sur exterieur,peinture alimentaire en bicouche sur surface interne, y compris les équipements et sujétions notamment la pose et le raccordement des tuyaux d’alimentation, de vidange et le by pass</t>
    </r>
  </si>
  <si>
    <r>
      <t>Béton de proprété dosé à 200kg/m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épaisseur 5 cm</t>
    </r>
  </si>
  <si>
    <r>
      <t>Béton de forme legèrement armé dosé à 350 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épaisseur 10cm</t>
    </r>
  </si>
  <si>
    <r>
      <t>Béton de proprété dosé à 200kg/m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, épaisseur 5 cm pour semelles et  rigoles</t>
    </r>
  </si>
  <si>
    <r>
      <t>Béton armé dosé à 350 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pour semelles isolées (0,6*0,6*0,20)</t>
    </r>
  </si>
  <si>
    <r>
      <t>Longrine en béton armé dosé à 350 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</t>
    </r>
  </si>
  <si>
    <r>
      <t>Poteaux en béton armé dosé à 350 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</t>
    </r>
  </si>
  <si>
    <r>
      <t>Béton legèrement armé dosé à 350 kg/m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 xml:space="preserve"> pour la dalle de depotoir, épaisseur 8cm</t>
    </r>
  </si>
  <si>
    <t>3.1</t>
  </si>
  <si>
    <t>4.1</t>
  </si>
  <si>
    <t>4.2</t>
  </si>
  <si>
    <t>4.3</t>
  </si>
  <si>
    <t xml:space="preserve">Fourniture et pose de pompe immergée solaire de capacité de 7 à 11 kw de Q m3/h de HMT,  et coffret de commande y compris le raccordement hydraulique et électrique (capteur de niveau etc.) avec toute sujétion </t>
  </si>
  <si>
    <t xml:space="preserve">V 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</si>
  <si>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</si>
  <si>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</si>
  <si>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</si>
  <si>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</si>
  <si>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</si>
  <si>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</si>
  <si>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</si>
  <si>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</si>
  <si>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</si>
  <si>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Fourniture et pose de luminaires (lampadaires) solaires avec batterie pour l’éclairage y compris toutes sujetions</t>
  </si>
  <si>
    <t>5.10</t>
  </si>
  <si>
    <t>5.11</t>
  </si>
  <si>
    <t>6.1</t>
  </si>
  <si>
    <t>6.2</t>
  </si>
  <si>
    <t>6.3</t>
  </si>
  <si>
    <t>6.4</t>
  </si>
  <si>
    <t>6.5</t>
  </si>
  <si>
    <r>
      <t xml:space="preserve">DQE FORAGE ET RESEAU DE DISTRIBUTION 
</t>
    </r>
    <r>
      <rPr>
        <sz val="10"/>
        <color rgb="FF000000"/>
        <rFont val="Calibri"/>
        <family val="2"/>
        <scheme val="minor"/>
      </rPr>
      <t>(Le calcul est basé sur une superficie de 1 ha par périmètre)</t>
    </r>
  </si>
  <si>
    <t xml:space="preserve">DQE AIRE DE LAVAGE ET SECHAGE
</t>
  </si>
  <si>
    <t>3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</si>
  <si>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</si>
  <si>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</si>
  <si>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</si>
  <si>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</si>
  <si>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</si>
  <si>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</si>
  <si>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</si>
  <si>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</si>
  <si>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</si>
  <si>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</si>
  <si>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</si>
  <si>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</si>
  <si>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</si>
  <si>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</si>
  <si>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</si>
  <si>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</si>
  <si>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</si>
  <si>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</si>
  <si>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</si>
  <si>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</si>
  <si>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</si>
  <si>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</si>
  <si>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</si>
  <si>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</si>
  <si>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</si>
  <si>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</si>
  <si>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4</t>
  </si>
  <si>
    <t xml:space="preserve">DQE ZONE DE COMPOSTAGE
</t>
  </si>
  <si>
    <t>5</t>
  </si>
  <si>
    <t xml:space="preserve">DQE Latrine ECOSAN 
</t>
  </si>
  <si>
    <t>Sous Total II</t>
  </si>
  <si>
    <t>Sous Total I</t>
  </si>
  <si>
    <t>Sous Total III</t>
  </si>
  <si>
    <t>Sous Total IV</t>
  </si>
  <si>
    <t>Sous Total VI</t>
  </si>
  <si>
    <t xml:space="preserve">TOTAL (A)+(B) = TA = </t>
  </si>
  <si>
    <t>Sous Total VIII</t>
  </si>
  <si>
    <t>Sous Total VII</t>
  </si>
  <si>
    <t>Sous - Total IV</t>
  </si>
  <si>
    <t>Sous - Total III</t>
  </si>
  <si>
    <t>Sous - Total II</t>
  </si>
  <si>
    <t>Sous - Total I</t>
  </si>
  <si>
    <t>2.7</t>
  </si>
  <si>
    <t>2.8</t>
  </si>
  <si>
    <t>2.9</t>
  </si>
  <si>
    <t>2.10</t>
  </si>
  <si>
    <t>3.2</t>
  </si>
  <si>
    <t>3.3</t>
  </si>
  <si>
    <t>3.4</t>
  </si>
  <si>
    <t>3.5</t>
  </si>
  <si>
    <t>3.6</t>
  </si>
  <si>
    <t>Sous - Total V</t>
  </si>
  <si>
    <t>V - COUVERTURE</t>
  </si>
  <si>
    <t>VI - PLOMBERIE</t>
  </si>
  <si>
    <t xml:space="preserve">VII - BADIGEONS - PEINTURE </t>
  </si>
  <si>
    <t xml:space="preserve">VIII - PLAQUE D'IDENTIFICATION DE L'OUVRAGE </t>
  </si>
  <si>
    <t xml:space="preserve">IX - EQUIPEMENT D'ENTRETIEN  </t>
  </si>
  <si>
    <t>Sous Total IX</t>
  </si>
  <si>
    <t>9.1</t>
  </si>
  <si>
    <t>9.2</t>
  </si>
  <si>
    <t>9.3</t>
  </si>
  <si>
    <t>9.4</t>
  </si>
  <si>
    <t>9.5</t>
  </si>
  <si>
    <t>8.1</t>
  </si>
  <si>
    <t>8.2</t>
  </si>
  <si>
    <t>7.1</t>
  </si>
  <si>
    <t>7.2</t>
  </si>
  <si>
    <t>6.6</t>
  </si>
  <si>
    <t>6.7</t>
  </si>
  <si>
    <t>6.8</t>
  </si>
  <si>
    <t>6.9</t>
  </si>
  <si>
    <t>6.10</t>
  </si>
  <si>
    <t>Surface totale disponible</t>
  </si>
  <si>
    <t>2 ha</t>
  </si>
  <si>
    <t>1 ha</t>
  </si>
  <si>
    <t>0,8 ha</t>
  </si>
  <si>
    <t>Etudes, dossier techniques et plans d’aménagement de chaque périmètre de maraichage</t>
  </si>
  <si>
    <t>FORAGE ET RESEAU DE DISTRIBUTION</t>
  </si>
  <si>
    <r>
      <t xml:space="preserve">Travaux préparatoires </t>
    </r>
    <r>
      <rPr>
        <sz val="11"/>
        <color rgb="FF000000"/>
        <rFont val="Calibri"/>
        <family val="2"/>
        <scheme val="minor"/>
      </rPr>
      <t>(amenée et installation des chantiers et nettoyage et repliement de matériel)</t>
    </r>
  </si>
  <si>
    <r>
      <t xml:space="preserve">LATRINE ECOSAN DE 2 CABINES </t>
    </r>
    <r>
      <rPr>
        <sz val="11"/>
        <color rgb="FF000000"/>
        <rFont val="Calibri"/>
        <family val="2"/>
        <scheme val="minor"/>
      </rPr>
      <t>(2 blocs par PPM)</t>
    </r>
  </si>
  <si>
    <t xml:space="preserve">Fourniture, fouille, pose de tuyaux PEHD DN63, PN10, remblai et essais y compris accessoires de raccordement </t>
  </si>
  <si>
    <t>3,8 ha</t>
  </si>
  <si>
    <t>Surface totale sites lot 1:</t>
  </si>
  <si>
    <r>
      <t xml:space="preserve">RECAPITULATIF LOT 1: </t>
    </r>
    <r>
      <rPr>
        <sz val="11"/>
        <color theme="1"/>
        <rFont val="Calibri"/>
        <family val="2"/>
        <scheme val="minor"/>
      </rPr>
      <t>pour l´amenagement d´un (1) ha par site</t>
    </r>
  </si>
  <si>
    <t>TRANCHE 2 (ferme)</t>
  </si>
  <si>
    <t>TRANCHE 1 (ferme)</t>
  </si>
  <si>
    <t>TOTAL LOT 1: (Tranche 1 + 2 ferme)</t>
  </si>
  <si>
    <t>TOTAL TRANCHE 2 (optionnelle):</t>
  </si>
  <si>
    <t>TOTAL TRANCHES FERMES ET OPTIONNELLES :</t>
  </si>
  <si>
    <r>
      <t>TRANCHE 2 (optionnelle)</t>
    </r>
    <r>
      <rPr>
        <sz val="11"/>
        <color rgb="FF000000"/>
        <rFont val="Calibri"/>
        <family val="2"/>
        <scheme val="minor"/>
      </rPr>
      <t>,
 pour l'extension du site Somadougou, Societé Super Dakan</t>
    </r>
  </si>
  <si>
    <t>Lot 02 : Etudes pour l’aménagement de périmètres de maraichage et réalisation des équipements nécessaires, y compris leur alimentation en eau pour l’arrosage des communes de Dandoli, Soroly et ville de Bandiagara – Région de Bandiagara</t>
  </si>
  <si>
    <t xml:space="preserve">Lot 2: </t>
  </si>
  <si>
    <t>SITE DE TONGNON SOCIETE AMBA-YO, COMMUNE DE DANDOLI</t>
  </si>
  <si>
    <t>SITE DE TOGNON SOCIETE MOLIBEMO, COMMUNE DE DANDOLI</t>
  </si>
  <si>
    <t>SITE DE KOKOLO SOCIETE AMAKENE, COMMUNE DE SOROLY</t>
  </si>
  <si>
    <t>SITE BANDIAGARA SOCIETE AMBA-BARA, VILLE DE BANDIAGRA</t>
  </si>
  <si>
    <t>1,3 ha</t>
  </si>
  <si>
    <t>Surface totale sites lot 2:</t>
  </si>
  <si>
    <t>6,3 ha</t>
  </si>
  <si>
    <r>
      <t xml:space="preserve">RECAPITULATIF LOT 2: </t>
    </r>
    <r>
      <rPr>
        <sz val="11"/>
        <color theme="1"/>
        <rFont val="Calibri"/>
        <family val="2"/>
        <scheme val="minor"/>
      </rPr>
      <t>pour l´amenagement d´un (1) ha par site</t>
    </r>
  </si>
  <si>
    <t>TOTAL LOT 2: (Tranche 1 + 2 ferme)</t>
  </si>
  <si>
    <r>
      <t>TRANCHE 2 (optionnelle)</t>
    </r>
    <r>
      <rPr>
        <sz val="11"/>
        <color rgb="FF000000"/>
        <rFont val="Calibri"/>
        <family val="2"/>
        <scheme val="minor"/>
      </rPr>
      <t>,
 pour l'extension des sites Tongnon et Kokolo</t>
    </r>
  </si>
  <si>
    <t>Lot 03 : Etudes pour l’aménagement de périmètres de maraichage et réalisation des équipements nécessaires, y compris leur alimentation en eau pour l’arrosage des communes de Borko  – Région de Bandiagara</t>
  </si>
  <si>
    <t xml:space="preserve">Lot 3: </t>
  </si>
  <si>
    <t>SITE DE BORKO SOBAYE , COMMUNE DE BORKO</t>
  </si>
  <si>
    <t>SITE DE BORKO SOBAÏ DE SOME TIN-TAN, COMMUNE DE BORKO</t>
  </si>
  <si>
    <t>2,5 ha</t>
  </si>
  <si>
    <t>SITE DE BORKO BAOULO GUIREMA INOU TIN-TAN, COMMUNE DE BORKO</t>
  </si>
  <si>
    <t>Surface totale sites lot 3:</t>
  </si>
  <si>
    <t>6,5 ha</t>
  </si>
  <si>
    <r>
      <t xml:space="preserve">RECAPITULATIF LOT 3: </t>
    </r>
    <r>
      <rPr>
        <sz val="11"/>
        <color theme="1"/>
        <rFont val="Calibri"/>
        <family val="2"/>
        <scheme val="minor"/>
      </rPr>
      <t>pour l´amenagement d´un (1) ha par site</t>
    </r>
  </si>
  <si>
    <t>TOTAL LOT 3: (Tranche 1 + 2 ferme)</t>
  </si>
  <si>
    <r>
      <t>TRANCHE 2 (optionnelle)</t>
    </r>
    <r>
      <rPr>
        <sz val="11"/>
        <color rgb="FF000000"/>
        <rFont val="Calibri"/>
        <family val="2"/>
        <scheme val="minor"/>
      </rPr>
      <t>,
 pour l'extension de trois sites à 2 ha par PPM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</si>
</sst>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  <numFmt numFmtId="166" formatCode="_-* #,##0\ _€_-;\-* #,##0\ _€_-;_-* &quot;-&quot;??\ _€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1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134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2F2F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" fillId="0" borderId="0">
      <alignment vertical="center"/>
    </xf>
    <xf numFmtId="165" fontId="6" fillId="0" borderId="0">
      <protection locked="0"/>
    </xf>
    <xf numFmtId="165" fontId="6" fillId="0" borderId="0">
      <protection locked="0"/>
    </xf>
    <xf numFmtId="41" fontId="6" fillId="0" borderId="0">
      <protection locked="0"/>
    </xf>
    <xf numFmtId="0" fontId="8" fillId="0" borderId="0"/>
    <xf numFmtId="165" fontId="1" fillId="0" borderId="0" applyFont="0" applyFill="0" applyBorder="0" applyAlignment="0" applyProtection="0"/>
    <xf numFmtId="0" fontId="9" fillId="0" borderId="0">
      <alignment vertical="center"/>
    </xf>
    <xf numFmtId="165" fontId="8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  <xf numFmtId="41" fontId="6" fillId="0" borderId="0">
      <protection locked="0"/>
    </xf>
    <xf numFmtId="43" fontId="1" fillId="0" borderId="0" applyFont="0" applyFill="0" applyBorder="0" applyAlignment="0" applyProtection="0"/>
    <xf numFmtId="41" fontId="6" fillId="0" borderId="0">
      <protection locked="0"/>
    </xf>
    <xf numFmtId="43" fontId="1" fillId="0" borderId="0" applyFont="0" applyFill="0" applyBorder="0" applyAlignment="0" applyProtection="0"/>
    <xf numFmtId="41" fontId="6" fillId="0" borderId="0">
      <protection locked="0"/>
    </xf>
  </cellStyleXfs>
  <cellXfs count="170">
    <xf numFmtId="0" fontId="0" fillId="0" borderId="0" xfId="0"/>
    <xf numFmtId="43" fontId="0" fillId="0" borderId="0" xfId="1" applyFont="1"/>
    <xf numFmtId="0" fontId="11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164" fontId="13" fillId="0" borderId="1" xfId="1" applyNumberFormat="1" applyFont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3" fillId="2" borderId="1" xfId="1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vertical="center"/>
    </xf>
    <xf numFmtId="49" fontId="1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9" fontId="13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horizontal="center" vertical="center"/>
    </xf>
    <xf numFmtId="164" fontId="13" fillId="3" borderId="1" xfId="1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164" fontId="14" fillId="0" borderId="1" xfId="1" applyNumberFormat="1" applyFont="1" applyBorder="1" applyAlignment="1">
      <alignment horizontal="right" vertical="center"/>
    </xf>
    <xf numFmtId="49" fontId="11" fillId="3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4" fontId="0" fillId="2" borderId="1" xfId="0" applyNumberForma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 wrapText="1"/>
    </xf>
    <xf numFmtId="4" fontId="0" fillId="2" borderId="1" xfId="0" applyNumberFormat="1" applyFill="1" applyBorder="1" applyAlignment="1">
      <alignment horizontal="center" vertical="center" wrapText="1"/>
    </xf>
    <xf numFmtId="164" fontId="14" fillId="2" borderId="1" xfId="1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165" fontId="0" fillId="0" borderId="1" xfId="10" applyFont="1" applyBorder="1"/>
    <xf numFmtId="166" fontId="0" fillId="0" borderId="1" xfId="10" applyNumberFormat="1" applyFont="1" applyBorder="1"/>
    <xf numFmtId="0" fontId="14" fillId="0" borderId="4" xfId="0" applyFont="1" applyBorder="1" applyAlignment="1">
      <alignment wrapText="1"/>
    </xf>
    <xf numFmtId="0" fontId="0" fillId="4" borderId="1" xfId="0" applyFill="1" applyBorder="1" applyAlignment="1">
      <alignment horizontal="center" vertical="center"/>
    </xf>
    <xf numFmtId="166" fontId="4" fillId="4" borderId="1" xfId="1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/>
    <xf numFmtId="165" fontId="4" fillId="0" borderId="1" xfId="10" applyFont="1" applyBorder="1"/>
    <xf numFmtId="166" fontId="4" fillId="0" borderId="1" xfId="10" applyNumberFormat="1" applyFont="1" applyBorder="1"/>
    <xf numFmtId="0" fontId="15" fillId="0" borderId="1" xfId="0" applyFont="1" applyBorder="1" applyAlignment="1">
      <alignment wrapText="1"/>
    </xf>
    <xf numFmtId="165" fontId="14" fillId="0" borderId="1" xfId="10" applyFont="1" applyBorder="1"/>
    <xf numFmtId="166" fontId="14" fillId="0" borderId="1" xfId="10" applyNumberFormat="1" applyFont="1" applyBorder="1"/>
    <xf numFmtId="0" fontId="4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166" fontId="4" fillId="0" borderId="1" xfId="1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164" fontId="14" fillId="2" borderId="1" xfId="1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 wrapText="1"/>
    </xf>
    <xf numFmtId="2" fontId="0" fillId="0" borderId="1" xfId="10" applyNumberFormat="1" applyFont="1" applyBorder="1" applyAlignment="1">
      <alignment horizontal="center" vertical="center"/>
    </xf>
    <xf numFmtId="164" fontId="0" fillId="0" borderId="0" xfId="1" applyNumberFormat="1" applyFont="1"/>
    <xf numFmtId="164" fontId="10" fillId="0" borderId="1" xfId="1" applyNumberFormat="1" applyFont="1" applyBorder="1" applyAlignment="1">
      <alignment horizontal="center" vertical="center" wrapText="1"/>
    </xf>
    <xf numFmtId="164" fontId="12" fillId="5" borderId="1" xfId="1" applyNumberFormat="1" applyFont="1" applyFill="1" applyBorder="1" applyAlignment="1">
      <alignment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Border="1" applyAlignment="1">
      <alignment vertical="center"/>
    </xf>
    <xf numFmtId="164" fontId="11" fillId="3" borderId="1" xfId="1" applyNumberFormat="1" applyFont="1" applyFill="1" applyBorder="1" applyAlignment="1">
      <alignment horizontal="right" vertical="center"/>
    </xf>
    <xf numFmtId="164" fontId="0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166" fontId="4" fillId="3" borderId="1" xfId="10" applyNumberFormat="1" applyFont="1" applyFill="1" applyBorder="1"/>
    <xf numFmtId="49" fontId="0" fillId="0" borderId="1" xfId="0" applyNumberFormat="1" applyBorder="1" applyAlignment="1">
      <alignment horizontal="center"/>
    </xf>
    <xf numFmtId="49" fontId="4" fillId="3" borderId="1" xfId="0" applyNumberFormat="1" applyFont="1" applyFill="1" applyBorder="1" applyAlignment="1">
      <alignment wrapText="1"/>
    </xf>
    <xf numFmtId="49" fontId="15" fillId="0" borderId="1" xfId="0" applyNumberFormat="1" applyFont="1" applyBorder="1" applyAlignment="1">
      <alignment horizontal="left"/>
    </xf>
    <xf numFmtId="49" fontId="1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165" fontId="0" fillId="0" borderId="1" xfId="10" applyFont="1" applyBorder="1" applyAlignment="1">
      <alignment horizontal="center"/>
    </xf>
    <xf numFmtId="49" fontId="0" fillId="0" borderId="1" xfId="0" applyNumberForma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2" fontId="11" fillId="0" borderId="2" xfId="0" applyNumberFormat="1" applyFont="1" applyBorder="1" applyAlignment="1">
      <alignment horizontal="center" vertical="center"/>
    </xf>
    <xf numFmtId="164" fontId="11" fillId="0" borderId="2" xfId="1" applyNumberFormat="1" applyFont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wrapText="1"/>
    </xf>
    <xf numFmtId="164" fontId="11" fillId="0" borderId="1" xfId="1" applyNumberFormat="1" applyFont="1" applyBorder="1" applyAlignment="1">
      <alignment horizontal="right" vertical="center"/>
    </xf>
    <xf numFmtId="0" fontId="0" fillId="0" borderId="1" xfId="0" applyBorder="1" applyAlignment="1">
      <alignment horizontal="left" wrapText="1"/>
    </xf>
    <xf numFmtId="0" fontId="12" fillId="5" borderId="1" xfId="0" applyFont="1" applyFill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11" fillId="0" borderId="0" xfId="18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164" fontId="11" fillId="0" borderId="1" xfId="18" applyNumberFormat="1" applyFont="1" applyBorder="1" applyAlignment="1">
      <alignment horizontal="center" vertical="center"/>
    </xf>
    <xf numFmtId="164" fontId="11" fillId="0" borderId="2" xfId="18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right" vertical="center"/>
    </xf>
    <xf numFmtId="164" fontId="11" fillId="0" borderId="13" xfId="1" applyNumberFormat="1" applyFont="1" applyBorder="1" applyAlignment="1">
      <alignment horizontal="right" vertical="center"/>
    </xf>
    <xf numFmtId="164" fontId="11" fillId="3" borderId="7" xfId="1" applyNumberFormat="1" applyFont="1" applyFill="1" applyBorder="1" applyAlignment="1">
      <alignment horizontal="center" vertical="center"/>
    </xf>
    <xf numFmtId="164" fontId="11" fillId="3" borderId="8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164" fontId="11" fillId="0" borderId="2" xfId="1" applyNumberFormat="1" applyFont="1" applyBorder="1" applyAlignment="1">
      <alignment horizontal="right" vertical="center"/>
    </xf>
    <xf numFmtId="164" fontId="11" fillId="0" borderId="15" xfId="1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wrapText="1"/>
    </xf>
    <xf numFmtId="0" fontId="0" fillId="0" borderId="1" xfId="0" applyBorder="1" applyAlignment="1">
      <alignment horizontal="left" wrapText="1"/>
    </xf>
    <xf numFmtId="0" fontId="11" fillId="3" borderId="7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4" fillId="0" borderId="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164" fontId="11" fillId="0" borderId="1" xfId="18" applyNumberFormat="1" applyFont="1" applyBorder="1" applyAlignment="1">
      <alignment horizontal="right" vertical="center"/>
    </xf>
    <xf numFmtId="164" fontId="11" fillId="0" borderId="13" xfId="18" applyNumberFormat="1" applyFont="1" applyBorder="1" applyAlignment="1">
      <alignment horizontal="right" vertical="center"/>
    </xf>
    <xf numFmtId="164" fontId="11" fillId="3" borderId="7" xfId="18" applyNumberFormat="1" applyFont="1" applyFill="1" applyBorder="1" applyAlignment="1">
      <alignment horizontal="center" vertical="center"/>
    </xf>
    <xf numFmtId="164" fontId="11" fillId="3" borderId="8" xfId="18" applyNumberFormat="1" applyFont="1" applyFill="1" applyBorder="1" applyAlignment="1">
      <alignment horizontal="center" vertical="center"/>
    </xf>
    <xf numFmtId="164" fontId="11" fillId="0" borderId="2" xfId="18" applyNumberFormat="1" applyFont="1" applyBorder="1" applyAlignment="1">
      <alignment horizontal="right" vertical="center"/>
    </xf>
    <xf numFmtId="164" fontId="11" fillId="0" borderId="15" xfId="18" applyNumberFormat="1" applyFont="1" applyBorder="1" applyAlignment="1">
      <alignment horizontal="right" vertical="center"/>
    </xf>
    <xf numFmtId="0" fontId="12" fillId="5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3" borderId="1" xfId="0" applyFont="1" applyFill="1" applyBorder="1" applyAlignment="1">
      <alignment horizontal="center" wrapText="1"/>
    </xf>
  </cellXfs>
  <cellStyles count="20">
    <cellStyle name="Komma 2" xfId="14" xr:uid="{0EB894FD-58AA-4622-B260-53265CDEAEEC}"/>
    <cellStyle name="Komma 2 2" xfId="18" xr:uid="{659709C3-5744-4285-A0F3-ADD2F479810B}"/>
    <cellStyle name="Komma 3" xfId="16" xr:uid="{5D0FEAE2-F983-4A5A-80B5-D57C04ECE598}"/>
    <cellStyle name="Milliers" xfId="1" builtinId="3"/>
    <cellStyle name="Milliers [0] 2" xfId="8" xr:uid="{96AD230E-CCE3-44DD-866C-4AE74522284E}"/>
    <cellStyle name="Milliers [0] 2 2" xfId="15" xr:uid="{34149D0D-71E7-4F5D-9834-8A26C656A12B}"/>
    <cellStyle name="Milliers [0] 2 2 2" xfId="19" xr:uid="{F9D434EB-EF7D-48A4-87FC-42F7F8AD3856}"/>
    <cellStyle name="Milliers [0] 2 3" xfId="17" xr:uid="{C175DD96-A41A-4C9E-9896-001D4BB505CA}"/>
    <cellStyle name="Milliers 2" xfId="2" xr:uid="{4BB9F56A-39CA-4846-A67C-547E16B977F4}"/>
    <cellStyle name="Milliers 2 2" xfId="10" xr:uid="{9E663644-6F17-4879-9471-988964A524E2}"/>
    <cellStyle name="Milliers 2 3" xfId="12" xr:uid="{DF8DFF35-2A0F-47C6-BB0D-FFDE46F4B2C8}"/>
    <cellStyle name="Milliers 3" xfId="3" xr:uid="{AD6C2D21-6DA4-4AE6-8B24-0E987B6490A2}"/>
    <cellStyle name="Milliers 4" xfId="4" xr:uid="{86311E6C-73E7-49F8-8EED-6C56BB6B7D7C}"/>
    <cellStyle name="Milliers 4 2" xfId="7" xr:uid="{11C48AF0-C566-41F7-B163-F15DEC15AE77}"/>
    <cellStyle name="Milliers 5" xfId="6" xr:uid="{6FDAE038-B3D4-4F4F-A327-AA142440699D}"/>
    <cellStyle name="Normal" xfId="0" builtinId="0"/>
    <cellStyle name="Normal 2" xfId="5" xr:uid="{2D00EFAE-043B-4A0C-863E-7DF7D2F08166}"/>
    <cellStyle name="Normal 2 2" xfId="13" xr:uid="{03F4C50E-566B-4938-B91C-F52E5B802D54}"/>
    <cellStyle name="Normal 3" xfId="9" xr:uid="{6B9C5DE2-D234-4613-BD58-224B76AC42B6}"/>
    <cellStyle name="Normal 3 2" xfId="11" xr:uid="{F27D6006-B7BF-4B5E-93C0-5CC11B0991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tomfed\donnees%20confed\Documents%20and%20Settings\Mcisse\Local%20Settings\Temporary%20Internet%20Files\Content.IE5\Y7P36X6Y\Documents%20and%20Settings\teufeil\Local%20Settings\Temporary%20Internet%20Files\OLK97\PVD%20BUDGET%20-%20final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gizonline.sharepoint.com/sites/SARES-ProgrammeRgional/Freigegebene%20Dokumente/Infrastructure/01-Mise%20en%20ouevre/04-Mali/DAO%20Sites%20maraichage/DAO%20Bureau/Lot2_DQE_V1.xlsx" TargetMode="External"/><Relationship Id="rId1" Type="http://schemas.openxmlformats.org/officeDocument/2006/relationships/externalLinkPath" Target="https://gizonline.sharepoint.com/sites/SARES-ProgrammeRgional/Freigegebene%20Dokumente/Infrastructure/01-Mise%20en%20ouevre/04-Mali/DAO%20Sites%20maraichage/DAO%20Bureau/Lot2_DQE_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sheet 1 Project budget"/>
      <sheetName val="Worksheet 2 Budget by activity"/>
      <sheetName val="Worksheet 3 Funding Sources "/>
      <sheetName val="4 Breakdown by sources"/>
    </sheetNames>
    <sheetDataSet>
      <sheetData sheetId="0">
        <row r="56">
          <cell r="E56">
            <v>0</v>
          </cell>
          <cell r="I56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capitulatif"/>
      <sheetName val="ETUDES"/>
      <sheetName val="FORAGE+RESEAU DE DISTRIBUTION"/>
      <sheetName val="AIRE DE LAVAGE ET SECHAGE"/>
      <sheetName val="Zone de Compostage"/>
      <sheetName val="Latrine ECOSAN "/>
    </sheetNames>
    <sheetDataSet>
      <sheetData sheetId="0"/>
      <sheetData sheetId="1">
        <row r="9">
          <cell r="F9">
            <v>0</v>
          </cell>
        </row>
      </sheetData>
      <sheetData sheetId="2">
        <row r="49">
          <cell r="F49">
            <v>0</v>
          </cell>
        </row>
      </sheetData>
      <sheetData sheetId="3">
        <row r="48">
          <cell r="F48">
            <v>0</v>
          </cell>
        </row>
      </sheetData>
      <sheetData sheetId="4">
        <row r="35">
          <cell r="F35">
            <v>0</v>
          </cell>
        </row>
      </sheetData>
      <sheetData sheetId="5">
        <row r="69">
          <cell r="F6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4F405-0FC7-488A-89AD-FC814B571894}">
  <sheetPr>
    <pageSetUpPr fitToPage="1"/>
  </sheetPr>
  <dimension ref="A1:F25"/>
  <sheetViews>
    <sheetView topLeftCell="A12" workbookViewId="0">
      <selection activeCell="H19" sqref="H19"/>
    </sheetView>
  </sheetViews>
  <sheetFormatPr baseColWidth="10" defaultRowHeight="14.4"/>
  <cols>
    <col min="2" max="2" width="47.5546875" customWidth="1"/>
    <col min="4" max="4" width="15.5546875" bestFit="1" customWidth="1"/>
    <col min="5" max="5" width="12.77734375" bestFit="1" customWidth="1"/>
  </cols>
  <sheetData>
    <row r="1" spans="1:6" ht="36" customHeight="1">
      <c r="A1" s="120" t="s">
        <v>164</v>
      </c>
      <c r="B1" s="121"/>
      <c r="C1" s="121"/>
      <c r="D1" s="121"/>
      <c r="E1" s="121"/>
      <c r="F1" s="122"/>
    </row>
    <row r="2" spans="1:6" ht="22.8" customHeight="1">
      <c r="A2" s="109"/>
      <c r="B2" s="99" t="s">
        <v>46</v>
      </c>
      <c r="C2" s="98"/>
      <c r="D2" s="98"/>
      <c r="E2" s="129" t="s">
        <v>301</v>
      </c>
      <c r="F2" s="130"/>
    </row>
    <row r="3" spans="1:6" ht="22.8" customHeight="1">
      <c r="A3" s="135" t="s">
        <v>45</v>
      </c>
      <c r="B3" s="143" t="s">
        <v>44</v>
      </c>
      <c r="C3" s="143"/>
      <c r="D3" s="143"/>
      <c r="E3" s="129" t="s">
        <v>304</v>
      </c>
      <c r="F3" s="130"/>
    </row>
    <row r="4" spans="1:6" ht="22.8" customHeight="1">
      <c r="A4" s="135"/>
      <c r="B4" s="143" t="s">
        <v>47</v>
      </c>
      <c r="C4" s="143"/>
      <c r="D4" s="143"/>
      <c r="E4" s="129" t="s">
        <v>303</v>
      </c>
      <c r="F4" s="130"/>
    </row>
    <row r="5" spans="1:6" ht="22.8" customHeight="1">
      <c r="A5" s="136"/>
      <c r="B5" s="145" t="s">
        <v>48</v>
      </c>
      <c r="C5" s="145"/>
      <c r="D5" s="145"/>
      <c r="E5" s="131" t="s">
        <v>302</v>
      </c>
      <c r="F5" s="132"/>
    </row>
    <row r="6" spans="1:6" ht="22.8" customHeight="1" thickBot="1">
      <c r="A6" s="136"/>
      <c r="B6" s="142" t="s">
        <v>311</v>
      </c>
      <c r="C6" s="142"/>
      <c r="D6" s="142"/>
      <c r="E6" s="131" t="s">
        <v>310</v>
      </c>
      <c r="F6" s="132"/>
    </row>
    <row r="7" spans="1:6" ht="22.8" customHeight="1">
      <c r="A7" s="137" t="s">
        <v>312</v>
      </c>
      <c r="B7" s="138"/>
      <c r="C7" s="138"/>
      <c r="D7" s="138"/>
      <c r="E7" s="138"/>
      <c r="F7" s="139"/>
    </row>
    <row r="8" spans="1:6" ht="22.5" customHeight="1">
      <c r="A8" s="103" t="s">
        <v>37</v>
      </c>
      <c r="B8" s="100" t="s">
        <v>43</v>
      </c>
      <c r="C8" s="15" t="s">
        <v>42</v>
      </c>
      <c r="D8" s="15" t="s">
        <v>39</v>
      </c>
      <c r="E8" s="123" t="s">
        <v>18</v>
      </c>
      <c r="F8" s="124"/>
    </row>
    <row r="9" spans="1:6" ht="22.5" customHeight="1">
      <c r="A9" s="103"/>
      <c r="B9" s="140" t="s">
        <v>314</v>
      </c>
      <c r="C9" s="140"/>
      <c r="D9" s="140"/>
      <c r="E9" s="140"/>
      <c r="F9" s="141"/>
    </row>
    <row r="10" spans="1:6" ht="28.8" customHeight="1">
      <c r="A10" s="103">
        <v>1</v>
      </c>
      <c r="B10" s="32" t="s">
        <v>305</v>
      </c>
      <c r="C10" s="101">
        <v>1</v>
      </c>
      <c r="D10" s="102"/>
      <c r="E10" s="125">
        <f>C10*D10</f>
        <v>0</v>
      </c>
      <c r="F10" s="126"/>
    </row>
    <row r="11" spans="1:6" ht="28.8" customHeight="1">
      <c r="A11" s="103"/>
      <c r="B11" s="140" t="s">
        <v>313</v>
      </c>
      <c r="C11" s="140"/>
      <c r="D11" s="140"/>
      <c r="E11" s="140"/>
      <c r="F11" s="141"/>
    </row>
    <row r="12" spans="1:6" ht="28.8" customHeight="1">
      <c r="A12" s="103">
        <v>0</v>
      </c>
      <c r="B12" s="32" t="s">
        <v>307</v>
      </c>
      <c r="C12" s="101">
        <v>1</v>
      </c>
      <c r="D12" s="102"/>
      <c r="E12" s="125">
        <f t="shared" ref="E12:E13" si="0">C12*D12</f>
        <v>0</v>
      </c>
      <c r="F12" s="126"/>
    </row>
    <row r="13" spans="1:6" ht="28.8" customHeight="1">
      <c r="A13" s="103">
        <v>2</v>
      </c>
      <c r="B13" s="32" t="s">
        <v>306</v>
      </c>
      <c r="C13" s="101">
        <v>3</v>
      </c>
      <c r="D13" s="102"/>
      <c r="E13" s="125">
        <f t="shared" si="0"/>
        <v>0</v>
      </c>
      <c r="F13" s="126"/>
    </row>
    <row r="14" spans="1:6" ht="28.8" customHeight="1">
      <c r="A14" s="103">
        <v>3</v>
      </c>
      <c r="B14" s="32" t="s">
        <v>132</v>
      </c>
      <c r="C14" s="101">
        <v>3</v>
      </c>
      <c r="D14" s="102"/>
      <c r="E14" s="125">
        <f>C14*D14</f>
        <v>0</v>
      </c>
      <c r="F14" s="126"/>
    </row>
    <row r="15" spans="1:6" ht="28.8" customHeight="1">
      <c r="A15" s="103">
        <v>4</v>
      </c>
      <c r="B15" s="32" t="s">
        <v>133</v>
      </c>
      <c r="C15" s="101">
        <v>3</v>
      </c>
      <c r="D15" s="102"/>
      <c r="E15" s="125">
        <f t="shared" ref="E15:E16" si="1">C15*D15</f>
        <v>0</v>
      </c>
      <c r="F15" s="126"/>
    </row>
    <row r="16" spans="1:6" ht="28.8" customHeight="1" thickBot="1">
      <c r="A16" s="104">
        <v>5</v>
      </c>
      <c r="B16" s="105" t="s">
        <v>308</v>
      </c>
      <c r="C16" s="106">
        <v>6</v>
      </c>
      <c r="D16" s="107"/>
      <c r="E16" s="133">
        <f t="shared" si="1"/>
        <v>0</v>
      </c>
      <c r="F16" s="134"/>
    </row>
    <row r="17" spans="1:6" ht="22.5" customHeight="1" thickBot="1">
      <c r="A17" s="108"/>
      <c r="B17" s="144" t="s">
        <v>315</v>
      </c>
      <c r="C17" s="144"/>
      <c r="D17" s="144"/>
      <c r="E17" s="127">
        <f>SUM(E10:F16)</f>
        <v>0</v>
      </c>
      <c r="F17" s="128"/>
    </row>
    <row r="18" spans="1:6" ht="28.8" customHeight="1">
      <c r="A18" s="103"/>
      <c r="B18" s="140" t="s">
        <v>318</v>
      </c>
      <c r="C18" s="140"/>
      <c r="D18" s="140"/>
      <c r="E18" s="140"/>
      <c r="F18" s="141"/>
    </row>
    <row r="19" spans="1:6" ht="28.8" customHeight="1">
      <c r="A19" s="103">
        <v>2</v>
      </c>
      <c r="B19" s="32" t="s">
        <v>306</v>
      </c>
      <c r="C19" s="101">
        <v>1</v>
      </c>
      <c r="D19" s="102"/>
      <c r="E19" s="125">
        <f t="shared" ref="E19" si="2">C19*D19</f>
        <v>0</v>
      </c>
      <c r="F19" s="126"/>
    </row>
    <row r="20" spans="1:6" ht="28.8" customHeight="1">
      <c r="A20" s="103">
        <v>3</v>
      </c>
      <c r="B20" s="32" t="s">
        <v>132</v>
      </c>
      <c r="C20" s="101">
        <v>1</v>
      </c>
      <c r="D20" s="102"/>
      <c r="E20" s="125">
        <f>C20*D20</f>
        <v>0</v>
      </c>
      <c r="F20" s="126"/>
    </row>
    <row r="21" spans="1:6" ht="28.8" customHeight="1">
      <c r="A21" s="103">
        <v>4</v>
      </c>
      <c r="B21" s="32" t="s">
        <v>133</v>
      </c>
      <c r="C21" s="101">
        <v>1</v>
      </c>
      <c r="D21" s="102"/>
      <c r="E21" s="125">
        <f t="shared" ref="E21:E22" si="3">C21*D21</f>
        <v>0</v>
      </c>
      <c r="F21" s="126"/>
    </row>
    <row r="22" spans="1:6" ht="28.8" customHeight="1" thickBot="1">
      <c r="A22" s="104">
        <v>5</v>
      </c>
      <c r="B22" s="105" t="s">
        <v>308</v>
      </c>
      <c r="C22" s="106">
        <v>1</v>
      </c>
      <c r="D22" s="107"/>
      <c r="E22" s="133">
        <f t="shared" si="3"/>
        <v>0</v>
      </c>
      <c r="F22" s="134"/>
    </row>
    <row r="23" spans="1:6" ht="22.5" customHeight="1" thickBot="1">
      <c r="A23" s="108"/>
      <c r="B23" s="144" t="s">
        <v>316</v>
      </c>
      <c r="C23" s="144"/>
      <c r="D23" s="144"/>
      <c r="E23" s="127">
        <f>SUM(E19:F22)</f>
        <v>0</v>
      </c>
      <c r="F23" s="128"/>
    </row>
    <row r="24" spans="1:6" ht="15" thickBot="1"/>
    <row r="25" spans="1:6" ht="22.5" customHeight="1" thickBot="1">
      <c r="A25" s="108"/>
      <c r="B25" s="144" t="s">
        <v>317</v>
      </c>
      <c r="C25" s="144"/>
      <c r="D25" s="144"/>
      <c r="E25" s="127">
        <f>E17+E23</f>
        <v>0</v>
      </c>
      <c r="F25" s="128"/>
    </row>
  </sheetData>
  <mergeCells count="32">
    <mergeCell ref="B18:F18"/>
    <mergeCell ref="B25:D25"/>
    <mergeCell ref="E25:F25"/>
    <mergeCell ref="E21:F21"/>
    <mergeCell ref="E22:F22"/>
    <mergeCell ref="E19:F19"/>
    <mergeCell ref="E20:F20"/>
    <mergeCell ref="B23:D23"/>
    <mergeCell ref="E23:F23"/>
    <mergeCell ref="B9:F9"/>
    <mergeCell ref="B6:D6"/>
    <mergeCell ref="B4:D4"/>
    <mergeCell ref="B3:D3"/>
    <mergeCell ref="B17:D17"/>
    <mergeCell ref="B5:D5"/>
    <mergeCell ref="E5:F5"/>
    <mergeCell ref="A1:F1"/>
    <mergeCell ref="E8:F8"/>
    <mergeCell ref="E10:F10"/>
    <mergeCell ref="E17:F17"/>
    <mergeCell ref="E12:F12"/>
    <mergeCell ref="E13:F13"/>
    <mergeCell ref="E2:F2"/>
    <mergeCell ref="E6:F6"/>
    <mergeCell ref="E4:F4"/>
    <mergeCell ref="E3:F3"/>
    <mergeCell ref="E16:F16"/>
    <mergeCell ref="A3:A6"/>
    <mergeCell ref="A7:F7"/>
    <mergeCell ref="E15:F15"/>
    <mergeCell ref="E14:F14"/>
    <mergeCell ref="B11:F11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3D7B6-ADEE-4DDA-8081-02F6C9037EBA}">
  <dimension ref="A1:F26"/>
  <sheetViews>
    <sheetView topLeftCell="A14" workbookViewId="0">
      <selection activeCell="B29" sqref="B29"/>
    </sheetView>
  </sheetViews>
  <sheetFormatPr baseColWidth="10" defaultRowHeight="14.4"/>
  <cols>
    <col min="2" max="2" width="47.5546875" customWidth="1"/>
    <col min="4" max="4" width="15.5546875" bestFit="1" customWidth="1"/>
    <col min="5" max="5" width="12.77734375" bestFit="1" customWidth="1"/>
  </cols>
  <sheetData>
    <row r="1" spans="1:6" ht="36" customHeight="1">
      <c r="A1" s="120" t="s">
        <v>319</v>
      </c>
      <c r="B1" s="121"/>
      <c r="C1" s="121"/>
      <c r="D1" s="121"/>
      <c r="E1" s="121"/>
      <c r="F1" s="122"/>
    </row>
    <row r="2" spans="1:6" ht="22.8" customHeight="1">
      <c r="A2" s="109"/>
      <c r="B2" s="99" t="s">
        <v>46</v>
      </c>
      <c r="C2" s="98"/>
      <c r="D2" s="98"/>
      <c r="E2" s="129" t="s">
        <v>301</v>
      </c>
      <c r="F2" s="130"/>
    </row>
    <row r="3" spans="1:6" ht="22.8" customHeight="1">
      <c r="A3" s="135" t="s">
        <v>320</v>
      </c>
      <c r="B3" s="143" t="s">
        <v>321</v>
      </c>
      <c r="C3" s="143"/>
      <c r="D3" s="143"/>
      <c r="E3" s="129" t="s">
        <v>302</v>
      </c>
      <c r="F3" s="130"/>
    </row>
    <row r="4" spans="1:6" ht="22.8" customHeight="1">
      <c r="A4" s="135"/>
      <c r="B4" s="143" t="s">
        <v>322</v>
      </c>
      <c r="C4" s="143"/>
      <c r="D4" s="143"/>
      <c r="E4" s="129" t="s">
        <v>303</v>
      </c>
      <c r="F4" s="130"/>
    </row>
    <row r="5" spans="1:6" ht="22.8" customHeight="1">
      <c r="A5" s="136"/>
      <c r="B5" s="146" t="s">
        <v>323</v>
      </c>
      <c r="C5" s="147"/>
      <c r="D5" s="148"/>
      <c r="E5" s="149" t="s">
        <v>302</v>
      </c>
      <c r="F5" s="150"/>
    </row>
    <row r="6" spans="1:6" ht="22.8" customHeight="1">
      <c r="A6" s="136"/>
      <c r="B6" s="145" t="s">
        <v>324</v>
      </c>
      <c r="C6" s="145"/>
      <c r="D6" s="145"/>
      <c r="E6" s="131" t="s">
        <v>325</v>
      </c>
      <c r="F6" s="132"/>
    </row>
    <row r="7" spans="1:6" ht="22.8" customHeight="1" thickBot="1">
      <c r="A7" s="136"/>
      <c r="B7" s="142" t="s">
        <v>326</v>
      </c>
      <c r="C7" s="142"/>
      <c r="D7" s="142"/>
      <c r="E7" s="131" t="s">
        <v>327</v>
      </c>
      <c r="F7" s="132"/>
    </row>
    <row r="8" spans="1:6" ht="22.5" customHeight="1">
      <c r="A8" s="137" t="s">
        <v>328</v>
      </c>
      <c r="B8" s="138"/>
      <c r="C8" s="138"/>
      <c r="D8" s="138"/>
      <c r="E8" s="138"/>
      <c r="F8" s="139"/>
    </row>
    <row r="9" spans="1:6" ht="22.5" customHeight="1">
      <c r="A9" s="103" t="s">
        <v>37</v>
      </c>
      <c r="B9" s="100" t="s">
        <v>43</v>
      </c>
      <c r="C9" s="15" t="s">
        <v>42</v>
      </c>
      <c r="D9" s="15" t="s">
        <v>39</v>
      </c>
      <c r="E9" s="123" t="s">
        <v>18</v>
      </c>
      <c r="F9" s="124"/>
    </row>
    <row r="10" spans="1:6" ht="28.8" customHeight="1">
      <c r="A10" s="103"/>
      <c r="B10" s="140" t="s">
        <v>314</v>
      </c>
      <c r="C10" s="140"/>
      <c r="D10" s="140"/>
      <c r="E10" s="140"/>
      <c r="F10" s="141"/>
    </row>
    <row r="11" spans="1:6" ht="28.8" customHeight="1">
      <c r="A11" s="103">
        <v>1</v>
      </c>
      <c r="B11" s="32" t="s">
        <v>305</v>
      </c>
      <c r="C11" s="101">
        <v>1</v>
      </c>
      <c r="D11" s="102">
        <f>[2]ETUDES!F9</f>
        <v>0</v>
      </c>
      <c r="E11" s="125">
        <f>C11*D11</f>
        <v>0</v>
      </c>
      <c r="F11" s="126"/>
    </row>
    <row r="12" spans="1:6" ht="28.8" customHeight="1">
      <c r="A12" s="103"/>
      <c r="B12" s="140" t="s">
        <v>313</v>
      </c>
      <c r="C12" s="140"/>
      <c r="D12" s="140"/>
      <c r="E12" s="140"/>
      <c r="F12" s="141"/>
    </row>
    <row r="13" spans="1:6" ht="28.8" customHeight="1">
      <c r="A13" s="103">
        <v>0</v>
      </c>
      <c r="B13" s="32" t="s">
        <v>307</v>
      </c>
      <c r="C13" s="101">
        <v>1</v>
      </c>
      <c r="D13" s="102"/>
      <c r="E13" s="125">
        <f t="shared" ref="E13:E14" si="0">C13*D13</f>
        <v>0</v>
      </c>
      <c r="F13" s="126"/>
    </row>
    <row r="14" spans="1:6" ht="28.8" customHeight="1">
      <c r="A14" s="103">
        <v>2</v>
      </c>
      <c r="B14" s="32" t="s">
        <v>306</v>
      </c>
      <c r="C14" s="101">
        <v>4</v>
      </c>
      <c r="D14" s="102">
        <f>'[2]FORAGE+RESEAU DE DISTRIBUTION'!F49</f>
        <v>0</v>
      </c>
      <c r="E14" s="125">
        <f t="shared" si="0"/>
        <v>0</v>
      </c>
      <c r="F14" s="126"/>
    </row>
    <row r="15" spans="1:6" ht="28.8" customHeight="1">
      <c r="A15" s="103">
        <v>3</v>
      </c>
      <c r="B15" s="32" t="s">
        <v>132</v>
      </c>
      <c r="C15" s="101">
        <v>4</v>
      </c>
      <c r="D15" s="102">
        <f>'[2]AIRE DE LAVAGE ET SECHAGE'!F48</f>
        <v>0</v>
      </c>
      <c r="E15" s="125">
        <f>C15*D15</f>
        <v>0</v>
      </c>
      <c r="F15" s="126"/>
    </row>
    <row r="16" spans="1:6" ht="28.8" customHeight="1">
      <c r="A16" s="103">
        <v>4</v>
      </c>
      <c r="B16" s="32" t="s">
        <v>133</v>
      </c>
      <c r="C16" s="101">
        <v>4</v>
      </c>
      <c r="D16" s="102">
        <f>'[2]Zone de Compostage'!F35</f>
        <v>0</v>
      </c>
      <c r="E16" s="125">
        <f t="shared" ref="E16:E17" si="1">C16*D16</f>
        <v>0</v>
      </c>
      <c r="F16" s="126"/>
    </row>
    <row r="17" spans="1:6" ht="22.5" customHeight="1" thickBot="1">
      <c r="A17" s="104">
        <v>5</v>
      </c>
      <c r="B17" s="105" t="s">
        <v>308</v>
      </c>
      <c r="C17" s="106">
        <v>8</v>
      </c>
      <c r="D17" s="107">
        <f>'[2]Latrine ECOSAN '!F69</f>
        <v>0</v>
      </c>
      <c r="E17" s="133">
        <f t="shared" si="1"/>
        <v>0</v>
      </c>
      <c r="F17" s="134"/>
    </row>
    <row r="18" spans="1:6" ht="28.8" customHeight="1" thickBot="1">
      <c r="A18" s="108"/>
      <c r="B18" s="144" t="s">
        <v>329</v>
      </c>
      <c r="C18" s="144"/>
      <c r="D18" s="144"/>
      <c r="E18" s="127">
        <f>SUM(E11:F17)</f>
        <v>0</v>
      </c>
      <c r="F18" s="128"/>
    </row>
    <row r="19" spans="1:6" ht="28.8" customHeight="1">
      <c r="A19" s="103"/>
      <c r="B19" s="140" t="s">
        <v>330</v>
      </c>
      <c r="C19" s="140"/>
      <c r="D19" s="140"/>
      <c r="E19" s="140"/>
      <c r="F19" s="141"/>
    </row>
    <row r="20" spans="1:6" ht="28.8" customHeight="1">
      <c r="A20" s="103">
        <v>2</v>
      </c>
      <c r="B20" s="32" t="s">
        <v>306</v>
      </c>
      <c r="C20" s="101">
        <v>2</v>
      </c>
      <c r="D20" s="102"/>
      <c r="E20" s="125">
        <f t="shared" ref="E20" si="2">C20*D20</f>
        <v>0</v>
      </c>
      <c r="F20" s="126"/>
    </row>
    <row r="21" spans="1:6" ht="28.8" customHeight="1">
      <c r="A21" s="103">
        <v>3</v>
      </c>
      <c r="B21" s="32" t="s">
        <v>132</v>
      </c>
      <c r="C21" s="101">
        <v>2</v>
      </c>
      <c r="D21" s="102"/>
      <c r="E21" s="125">
        <f>C21*D21</f>
        <v>0</v>
      </c>
      <c r="F21" s="126"/>
    </row>
    <row r="22" spans="1:6" ht="28.8" customHeight="1">
      <c r="A22" s="103">
        <v>4</v>
      </c>
      <c r="B22" s="32" t="s">
        <v>133</v>
      </c>
      <c r="C22" s="101">
        <v>2</v>
      </c>
      <c r="D22" s="102"/>
      <c r="E22" s="125">
        <f t="shared" ref="E22:E23" si="3">C22*D22</f>
        <v>0</v>
      </c>
      <c r="F22" s="126"/>
    </row>
    <row r="23" spans="1:6" ht="22.5" customHeight="1" thickBot="1">
      <c r="A23" s="104">
        <v>5</v>
      </c>
      <c r="B23" s="105" t="s">
        <v>308</v>
      </c>
      <c r="C23" s="106">
        <v>2</v>
      </c>
      <c r="D23" s="107"/>
      <c r="E23" s="133">
        <f t="shared" si="3"/>
        <v>0</v>
      </c>
      <c r="F23" s="134"/>
    </row>
    <row r="24" spans="1:6" ht="15" thickBot="1">
      <c r="A24" s="108"/>
      <c r="B24" s="144" t="s">
        <v>316</v>
      </c>
      <c r="C24" s="144"/>
      <c r="D24" s="144"/>
      <c r="E24" s="127">
        <f>SUM(E20:F23)</f>
        <v>0</v>
      </c>
      <c r="F24" s="128"/>
    </row>
    <row r="25" spans="1:6" ht="22.5" customHeight="1" thickBot="1"/>
    <row r="26" spans="1:6" ht="22.8" customHeight="1" thickBot="1">
      <c r="A26" s="108"/>
      <c r="B26" s="144" t="s">
        <v>317</v>
      </c>
      <c r="C26" s="144"/>
      <c r="D26" s="144"/>
      <c r="E26" s="127">
        <f>E18+E24</f>
        <v>0</v>
      </c>
      <c r="F26" s="128"/>
    </row>
  </sheetData>
  <mergeCells count="34">
    <mergeCell ref="B10:F10"/>
    <mergeCell ref="A1:F1"/>
    <mergeCell ref="E2:F2"/>
    <mergeCell ref="A3:A7"/>
    <mergeCell ref="B3:D3"/>
    <mergeCell ref="E3:F3"/>
    <mergeCell ref="B4:D4"/>
    <mergeCell ref="E4:F4"/>
    <mergeCell ref="B5:D5"/>
    <mergeCell ref="E5:F5"/>
    <mergeCell ref="B6:D6"/>
    <mergeCell ref="E6:F6"/>
    <mergeCell ref="B7:D7"/>
    <mergeCell ref="E7:F7"/>
    <mergeCell ref="A8:F8"/>
    <mergeCell ref="E9:F9"/>
    <mergeCell ref="E21:F21"/>
    <mergeCell ref="E11:F11"/>
    <mergeCell ref="B12:F12"/>
    <mergeCell ref="E13:F13"/>
    <mergeCell ref="E14:F14"/>
    <mergeCell ref="E15:F15"/>
    <mergeCell ref="E16:F16"/>
    <mergeCell ref="E17:F17"/>
    <mergeCell ref="B18:D18"/>
    <mergeCell ref="E18:F18"/>
    <mergeCell ref="B19:F19"/>
    <mergeCell ref="E20:F20"/>
    <mergeCell ref="E22:F22"/>
    <mergeCell ref="E23:F23"/>
    <mergeCell ref="B24:D24"/>
    <mergeCell ref="E24:F24"/>
    <mergeCell ref="B26:D26"/>
    <mergeCell ref="E26:F2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DFCA3-2E11-4A29-B9A7-D022BC7D20BF}">
  <dimension ref="A1:F27"/>
  <sheetViews>
    <sheetView topLeftCell="A11" workbookViewId="0">
      <selection activeCell="E21" sqref="E21:F21"/>
    </sheetView>
  </sheetViews>
  <sheetFormatPr baseColWidth="10" defaultRowHeight="14.4"/>
  <cols>
    <col min="2" max="2" width="47.5546875" customWidth="1"/>
    <col min="4" max="4" width="15.5546875" bestFit="1" customWidth="1"/>
    <col min="5" max="5" width="12.77734375" bestFit="1" customWidth="1"/>
  </cols>
  <sheetData>
    <row r="1" spans="1:6" ht="36" customHeight="1">
      <c r="A1" s="120" t="s">
        <v>331</v>
      </c>
      <c r="B1" s="121"/>
      <c r="C1" s="121"/>
      <c r="D1" s="121"/>
      <c r="E1" s="121"/>
      <c r="F1" s="122"/>
    </row>
    <row r="2" spans="1:6" ht="22.8" customHeight="1">
      <c r="A2" s="109"/>
      <c r="B2" s="99" t="s">
        <v>46</v>
      </c>
      <c r="C2" s="98"/>
      <c r="D2" s="98"/>
      <c r="E2" s="129" t="s">
        <v>301</v>
      </c>
      <c r="F2" s="130"/>
    </row>
    <row r="3" spans="1:6" ht="22.8" customHeight="1">
      <c r="A3" s="135" t="s">
        <v>332</v>
      </c>
      <c r="B3" s="143" t="s">
        <v>333</v>
      </c>
      <c r="C3" s="143"/>
      <c r="D3" s="143"/>
      <c r="E3" s="129" t="s">
        <v>302</v>
      </c>
      <c r="F3" s="130"/>
    </row>
    <row r="4" spans="1:6" ht="22.8" customHeight="1">
      <c r="A4" s="135"/>
      <c r="B4" s="143" t="s">
        <v>334</v>
      </c>
      <c r="C4" s="143"/>
      <c r="D4" s="143"/>
      <c r="E4" s="129" t="s">
        <v>335</v>
      </c>
      <c r="F4" s="130"/>
    </row>
    <row r="5" spans="1:6" ht="22.8" customHeight="1">
      <c r="A5" s="136"/>
      <c r="B5" s="145" t="s">
        <v>336</v>
      </c>
      <c r="C5" s="145"/>
      <c r="D5" s="145"/>
      <c r="E5" s="131" t="s">
        <v>302</v>
      </c>
      <c r="F5" s="132"/>
    </row>
    <row r="6" spans="1:6" ht="22.8" customHeight="1" thickBot="1">
      <c r="A6" s="136"/>
      <c r="B6" s="142" t="s">
        <v>337</v>
      </c>
      <c r="C6" s="142"/>
      <c r="D6" s="142"/>
      <c r="E6" s="131" t="s">
        <v>338</v>
      </c>
      <c r="F6" s="132"/>
    </row>
    <row r="7" spans="1:6" ht="22.8" customHeight="1">
      <c r="A7" s="137" t="s">
        <v>339</v>
      </c>
      <c r="B7" s="138"/>
      <c r="C7" s="138"/>
      <c r="D7" s="138"/>
      <c r="E7" s="138"/>
      <c r="F7" s="139"/>
    </row>
    <row r="8" spans="1:6" ht="22.5" customHeight="1">
      <c r="A8" s="103" t="s">
        <v>37</v>
      </c>
      <c r="B8" s="100" t="s">
        <v>43</v>
      </c>
      <c r="C8" s="15" t="s">
        <v>42</v>
      </c>
      <c r="D8" s="15" t="s">
        <v>39</v>
      </c>
      <c r="E8" s="123" t="s">
        <v>18</v>
      </c>
      <c r="F8" s="124"/>
    </row>
    <row r="9" spans="1:6" ht="22.5" customHeight="1">
      <c r="A9" s="103"/>
      <c r="B9" s="140" t="s">
        <v>314</v>
      </c>
      <c r="C9" s="140"/>
      <c r="D9" s="140"/>
      <c r="E9" s="140"/>
      <c r="F9" s="141"/>
    </row>
    <row r="10" spans="1:6" ht="28.8" customHeight="1">
      <c r="A10" s="103">
        <v>1</v>
      </c>
      <c r="B10" s="32" t="s">
        <v>305</v>
      </c>
      <c r="C10" s="101">
        <v>1</v>
      </c>
      <c r="D10" s="118"/>
      <c r="E10" s="151">
        <v>0</v>
      </c>
      <c r="F10" s="152"/>
    </row>
    <row r="11" spans="1:6" ht="28.8" customHeight="1">
      <c r="A11" s="103"/>
      <c r="B11" s="140" t="s">
        <v>313</v>
      </c>
      <c r="C11" s="140"/>
      <c r="D11" s="140"/>
      <c r="E11" s="140"/>
      <c r="F11" s="141"/>
    </row>
    <row r="12" spans="1:6" ht="28.8" customHeight="1">
      <c r="A12" s="103">
        <v>0</v>
      </c>
      <c r="B12" s="32" t="s">
        <v>307</v>
      </c>
      <c r="C12" s="101">
        <v>1</v>
      </c>
      <c r="D12" s="118"/>
      <c r="E12" s="151">
        <v>0</v>
      </c>
      <c r="F12" s="152"/>
    </row>
    <row r="13" spans="1:6" ht="28.8" customHeight="1">
      <c r="A13" s="103">
        <v>2</v>
      </c>
      <c r="B13" s="32" t="s">
        <v>306</v>
      </c>
      <c r="C13" s="101">
        <v>3</v>
      </c>
      <c r="D13" s="118"/>
      <c r="E13" s="151">
        <v>0</v>
      </c>
      <c r="F13" s="152"/>
    </row>
    <row r="14" spans="1:6" ht="28.8" customHeight="1">
      <c r="A14" s="103">
        <v>3</v>
      </c>
      <c r="B14" s="32" t="s">
        <v>132</v>
      </c>
      <c r="C14" s="101">
        <v>3</v>
      </c>
      <c r="D14" s="118"/>
      <c r="E14" s="151">
        <v>0</v>
      </c>
      <c r="F14" s="152"/>
    </row>
    <row r="15" spans="1:6" ht="28.8" customHeight="1">
      <c r="A15" s="103">
        <v>4</v>
      </c>
      <c r="B15" s="32" t="s">
        <v>133</v>
      </c>
      <c r="C15" s="101">
        <v>3</v>
      </c>
      <c r="D15" s="118"/>
      <c r="E15" s="151">
        <v>0</v>
      </c>
      <c r="F15" s="152"/>
    </row>
    <row r="16" spans="1:6" ht="28.8" customHeight="1" thickBot="1">
      <c r="A16" s="104">
        <v>5</v>
      </c>
      <c r="B16" s="105" t="s">
        <v>308</v>
      </c>
      <c r="C16" s="106">
        <v>6</v>
      </c>
      <c r="D16" s="119"/>
      <c r="E16" s="155">
        <v>0</v>
      </c>
      <c r="F16" s="156"/>
    </row>
    <row r="17" spans="1:6" ht="22.5" customHeight="1" thickBot="1">
      <c r="A17" s="108"/>
      <c r="B17" s="144" t="s">
        <v>340</v>
      </c>
      <c r="C17" s="144"/>
      <c r="D17" s="144"/>
      <c r="E17" s="153">
        <v>0</v>
      </c>
      <c r="F17" s="154"/>
    </row>
    <row r="18" spans="1:6" ht="28.8" customHeight="1">
      <c r="A18" s="103"/>
      <c r="B18" s="140" t="s">
        <v>341</v>
      </c>
      <c r="C18" s="140"/>
      <c r="D18" s="140"/>
      <c r="E18" s="140"/>
      <c r="F18" s="141"/>
    </row>
    <row r="19" spans="1:6" ht="28.8" customHeight="1">
      <c r="A19" s="103">
        <v>2</v>
      </c>
      <c r="B19" s="32" t="s">
        <v>306</v>
      </c>
      <c r="C19" s="101">
        <v>3</v>
      </c>
      <c r="D19" s="118"/>
      <c r="E19" s="151">
        <v>0</v>
      </c>
      <c r="F19" s="152"/>
    </row>
    <row r="20" spans="1:6" ht="28.8" customHeight="1">
      <c r="A20" s="103">
        <v>3</v>
      </c>
      <c r="B20" s="32" t="s">
        <v>132</v>
      </c>
      <c r="C20" s="101">
        <v>3</v>
      </c>
      <c r="D20" s="118"/>
      <c r="E20" s="151">
        <v>0</v>
      </c>
      <c r="F20" s="152"/>
    </row>
    <row r="21" spans="1:6" ht="28.8" customHeight="1">
      <c r="A21" s="103">
        <v>4</v>
      </c>
      <c r="B21" s="32" t="s">
        <v>133</v>
      </c>
      <c r="C21" s="101">
        <v>3</v>
      </c>
      <c r="D21" s="118"/>
      <c r="E21" s="151">
        <v>0</v>
      </c>
      <c r="F21" s="152"/>
    </row>
    <row r="22" spans="1:6" ht="28.8" customHeight="1" thickBot="1">
      <c r="A22" s="104">
        <v>5</v>
      </c>
      <c r="B22" s="105" t="s">
        <v>308</v>
      </c>
      <c r="C22" s="106">
        <v>6</v>
      </c>
      <c r="D22" s="119"/>
      <c r="E22" s="155">
        <v>0</v>
      </c>
      <c r="F22" s="156"/>
    </row>
    <row r="23" spans="1:6" ht="22.5" customHeight="1" thickBot="1">
      <c r="A23" s="108"/>
      <c r="B23" s="144" t="s">
        <v>316</v>
      </c>
      <c r="C23" s="144"/>
      <c r="D23" s="144"/>
      <c r="E23" s="153">
        <v>0</v>
      </c>
      <c r="F23" s="154"/>
    </row>
    <row r="24" spans="1:6" ht="15" thickBot="1"/>
    <row r="25" spans="1:6" ht="22.2" customHeight="1" thickBot="1">
      <c r="A25" s="108"/>
      <c r="B25" s="144" t="s">
        <v>317</v>
      </c>
      <c r="C25" s="144"/>
      <c r="D25" s="144"/>
      <c r="E25" s="153">
        <v>0</v>
      </c>
      <c r="F25" s="154"/>
    </row>
    <row r="26" spans="1:6" ht="16.2" customHeight="1" thickBot="1">
      <c r="A26" s="115"/>
      <c r="B26" s="117"/>
      <c r="C26" s="117"/>
      <c r="D26" s="117"/>
      <c r="E26" s="116"/>
      <c r="F26" s="116"/>
    </row>
    <row r="27" spans="1:6" ht="22.8" customHeight="1" thickBot="1">
      <c r="A27" s="108"/>
      <c r="B27" s="144" t="s">
        <v>317</v>
      </c>
      <c r="C27" s="144"/>
      <c r="D27" s="144"/>
      <c r="E27" s="127">
        <f>E18+E24</f>
        <v>0</v>
      </c>
      <c r="F27" s="128"/>
    </row>
  </sheetData>
  <mergeCells count="34">
    <mergeCell ref="B17:D17"/>
    <mergeCell ref="B9:F9"/>
    <mergeCell ref="B6:D6"/>
    <mergeCell ref="B4:D4"/>
    <mergeCell ref="B3:D3"/>
    <mergeCell ref="B5:D5"/>
    <mergeCell ref="E5:F5"/>
    <mergeCell ref="B27:D27"/>
    <mergeCell ref="E27:F27"/>
    <mergeCell ref="B18:F18"/>
    <mergeCell ref="B25:D25"/>
    <mergeCell ref="E25:F25"/>
    <mergeCell ref="E21:F21"/>
    <mergeCell ref="E22:F22"/>
    <mergeCell ref="E19:F19"/>
    <mergeCell ref="E20:F20"/>
    <mergeCell ref="B23:D23"/>
    <mergeCell ref="E23:F23"/>
    <mergeCell ref="A1:F1"/>
    <mergeCell ref="E8:F8"/>
    <mergeCell ref="E10:F10"/>
    <mergeCell ref="E17:F17"/>
    <mergeCell ref="E12:F12"/>
    <mergeCell ref="E13:F13"/>
    <mergeCell ref="E2:F2"/>
    <mergeCell ref="E6:F6"/>
    <mergeCell ref="E4:F4"/>
    <mergeCell ref="E3:F3"/>
    <mergeCell ref="E16:F16"/>
    <mergeCell ref="A3:A6"/>
    <mergeCell ref="A7:F7"/>
    <mergeCell ref="E15:F15"/>
    <mergeCell ref="E14:F14"/>
    <mergeCell ref="B11:F1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EC1BE-B8B3-4B3C-B283-463CC00C0482}">
  <sheetPr>
    <pageSetUpPr fitToPage="1"/>
  </sheetPr>
  <dimension ref="A1:K201"/>
  <sheetViews>
    <sheetView tabSelected="1" topLeftCell="A84" workbookViewId="0">
      <selection activeCell="K11" sqref="K11"/>
    </sheetView>
  </sheetViews>
  <sheetFormatPr baseColWidth="10" defaultRowHeight="14.4"/>
  <cols>
    <col min="1" max="1" width="8.21875" customWidth="1"/>
    <col min="2" max="2" width="52.6640625" customWidth="1"/>
    <col min="3" max="3" width="10.88671875" customWidth="1"/>
    <col min="4" max="4" width="12.77734375" customWidth="1"/>
    <col min="6" max="6" width="12.77734375" style="73" customWidth="1"/>
    <col min="7" max="7" width="12.44140625" style="1" bestFit="1" customWidth="1"/>
    <col min="8" max="8" width="14.44140625" style="1" bestFit="1" customWidth="1"/>
    <col min="9" max="11" width="10.88671875" style="1"/>
  </cols>
  <sheetData>
    <row r="1" spans="1:6">
      <c r="A1" s="159" t="s">
        <v>165</v>
      </c>
      <c r="B1" s="159" t="s">
        <v>166</v>
      </c>
      <c r="C1" s="159" t="s">
        <v>38</v>
      </c>
      <c r="D1" s="159" t="s">
        <v>167</v>
      </c>
      <c r="E1" s="159" t="s">
        <v>42</v>
      </c>
      <c r="F1" s="74" t="s">
        <v>168</v>
      </c>
    </row>
    <row r="2" spans="1:6" ht="27.6">
      <c r="A2" s="159"/>
      <c r="B2" s="159"/>
      <c r="C2" s="159"/>
      <c r="D2" s="159"/>
      <c r="E2" s="159"/>
      <c r="F2" s="74" t="s">
        <v>169</v>
      </c>
    </row>
    <row r="3" spans="1:6">
      <c r="A3" s="2">
        <v>1</v>
      </c>
      <c r="B3" s="157" t="s">
        <v>185</v>
      </c>
      <c r="C3" s="157"/>
      <c r="D3" s="157"/>
      <c r="E3" s="157"/>
      <c r="F3" s="157"/>
    </row>
    <row r="4" spans="1:6">
      <c r="A4" s="114" t="s">
        <v>170</v>
      </c>
      <c r="B4" s="11" t="s">
        <v>171</v>
      </c>
      <c r="C4" s="3" t="s">
        <v>38</v>
      </c>
      <c r="D4" s="4" t="s">
        <v>167</v>
      </c>
      <c r="E4" s="5" t="s">
        <v>42</v>
      </c>
      <c r="F4" s="77" t="s">
        <v>172</v>
      </c>
    </row>
    <row r="5" spans="1:6" ht="27.6">
      <c r="A5" s="114" t="s">
        <v>173</v>
      </c>
      <c r="B5" s="6" t="s">
        <v>174</v>
      </c>
      <c r="C5" s="7" t="s">
        <v>175</v>
      </c>
      <c r="D5" s="8"/>
      <c r="E5" s="9">
        <v>3</v>
      </c>
      <c r="F5" s="85">
        <f>D5*E5</f>
        <v>0</v>
      </c>
    </row>
    <row r="6" spans="1:6" ht="41.4">
      <c r="A6" s="114" t="s">
        <v>176</v>
      </c>
      <c r="B6" s="6" t="s">
        <v>177</v>
      </c>
      <c r="C6" s="7" t="s">
        <v>175</v>
      </c>
      <c r="D6" s="8"/>
      <c r="E6" s="9">
        <v>3</v>
      </c>
      <c r="F6" s="85">
        <f t="shared" ref="F6:F7" si="0">D6*E6</f>
        <v>0</v>
      </c>
    </row>
    <row r="7" spans="1:6" ht="27.6">
      <c r="A7" s="114" t="s">
        <v>178</v>
      </c>
      <c r="B7" s="6" t="s">
        <v>179</v>
      </c>
      <c r="C7" s="7" t="s">
        <v>175</v>
      </c>
      <c r="D7" s="8"/>
      <c r="E7" s="9">
        <v>3</v>
      </c>
      <c r="F7" s="85">
        <f t="shared" si="0"/>
        <v>0</v>
      </c>
    </row>
    <row r="8" spans="1:6" ht="15.45" customHeight="1">
      <c r="A8" s="158" t="s">
        <v>180</v>
      </c>
      <c r="B8" s="158"/>
      <c r="C8" s="158"/>
      <c r="D8" s="158"/>
      <c r="E8" s="158"/>
      <c r="F8" s="77">
        <f>SUM(F5:F7)</f>
        <v>0</v>
      </c>
    </row>
    <row r="9" spans="1:6">
      <c r="A9" s="10"/>
    </row>
    <row r="10" spans="1:6">
      <c r="A10" s="12">
        <v>2</v>
      </c>
      <c r="B10" s="157" t="s">
        <v>186</v>
      </c>
      <c r="C10" s="157"/>
      <c r="D10" s="157"/>
      <c r="E10" s="157"/>
      <c r="F10" s="157"/>
    </row>
    <row r="11" spans="1:6" ht="27.6">
      <c r="A11" s="12"/>
      <c r="B11" s="112" t="s">
        <v>226</v>
      </c>
      <c r="C11" s="112"/>
      <c r="D11" s="112"/>
      <c r="E11" s="75"/>
      <c r="F11" s="75"/>
    </row>
    <row r="12" spans="1:6">
      <c r="A12" s="113" t="s">
        <v>170</v>
      </c>
      <c r="B12" s="11" t="s">
        <v>171</v>
      </c>
      <c r="C12" s="3" t="s">
        <v>38</v>
      </c>
      <c r="D12" s="4" t="s">
        <v>42</v>
      </c>
      <c r="E12" s="76" t="s">
        <v>167</v>
      </c>
      <c r="F12" s="77" t="s">
        <v>172</v>
      </c>
    </row>
    <row r="13" spans="1:6">
      <c r="A13" s="13" t="s">
        <v>20</v>
      </c>
      <c r="B13" s="14" t="s">
        <v>19</v>
      </c>
      <c r="C13" s="15"/>
      <c r="D13" s="15"/>
      <c r="E13" s="16"/>
      <c r="F13" s="82"/>
    </row>
    <row r="14" spans="1:6">
      <c r="A14" s="13" t="s">
        <v>187</v>
      </c>
      <c r="B14" s="14" t="s">
        <v>0</v>
      </c>
      <c r="C14" s="15"/>
      <c r="D14" s="15"/>
      <c r="E14" s="16"/>
      <c r="F14" s="82"/>
    </row>
    <row r="15" spans="1:6">
      <c r="A15" s="17" t="s">
        <v>173</v>
      </c>
      <c r="B15" s="18" t="s">
        <v>1</v>
      </c>
      <c r="C15" s="19" t="s">
        <v>2</v>
      </c>
      <c r="D15" s="20">
        <v>60</v>
      </c>
      <c r="E15" s="21"/>
      <c r="F15" s="21">
        <f>D15*E15</f>
        <v>0</v>
      </c>
    </row>
    <row r="16" spans="1:6">
      <c r="A16" s="17" t="s">
        <v>176</v>
      </c>
      <c r="B16" s="22" t="s">
        <v>3</v>
      </c>
      <c r="C16" s="19" t="s">
        <v>2</v>
      </c>
      <c r="D16" s="20">
        <v>120</v>
      </c>
      <c r="E16" s="21"/>
      <c r="F16" s="21">
        <f>D16*E16</f>
        <v>0</v>
      </c>
    </row>
    <row r="17" spans="1:6">
      <c r="A17" s="23" t="s">
        <v>178</v>
      </c>
      <c r="B17" s="24" t="s">
        <v>4</v>
      </c>
      <c r="C17" s="20" t="s">
        <v>2</v>
      </c>
      <c r="D17" s="20">
        <v>15</v>
      </c>
      <c r="E17" s="21"/>
      <c r="F17" s="21">
        <f>D17*E17</f>
        <v>0</v>
      </c>
    </row>
    <row r="18" spans="1:6">
      <c r="A18" s="25"/>
      <c r="B18" s="26" t="s">
        <v>260</v>
      </c>
      <c r="C18" s="27"/>
      <c r="D18" s="27"/>
      <c r="E18" s="28"/>
      <c r="F18" s="83">
        <f>SUM(F15:F17)</f>
        <v>0</v>
      </c>
    </row>
    <row r="19" spans="1:6">
      <c r="A19" s="13" t="s">
        <v>23</v>
      </c>
      <c r="B19" s="29" t="s">
        <v>25</v>
      </c>
      <c r="C19" s="20"/>
      <c r="D19" s="20"/>
      <c r="E19" s="16"/>
      <c r="F19" s="21"/>
    </row>
    <row r="20" spans="1:6" ht="43.2">
      <c r="A20" s="17" t="s">
        <v>189</v>
      </c>
      <c r="B20" s="18" t="s">
        <v>5</v>
      </c>
      <c r="C20" s="19" t="s">
        <v>2</v>
      </c>
      <c r="D20" s="20">
        <v>120</v>
      </c>
      <c r="E20" s="21"/>
      <c r="F20" s="21">
        <f>D20*E20</f>
        <v>0</v>
      </c>
    </row>
    <row r="21" spans="1:6" ht="43.2">
      <c r="A21" s="17" t="s">
        <v>190</v>
      </c>
      <c r="B21" s="18" t="s">
        <v>6</v>
      </c>
      <c r="C21" s="19" t="s">
        <v>2</v>
      </c>
      <c r="D21" s="20">
        <v>60</v>
      </c>
      <c r="E21" s="21"/>
      <c r="F21" s="21">
        <f>D21*E21</f>
        <v>0</v>
      </c>
    </row>
    <row r="22" spans="1:6" ht="28.8">
      <c r="A22" s="17" t="s">
        <v>191</v>
      </c>
      <c r="B22" s="30" t="s">
        <v>7</v>
      </c>
      <c r="C22" s="20" t="s">
        <v>2</v>
      </c>
      <c r="D22" s="20">
        <v>1</v>
      </c>
      <c r="E22" s="16"/>
      <c r="F22" s="16">
        <f>D22*E22</f>
        <v>0</v>
      </c>
    </row>
    <row r="23" spans="1:6" ht="57.6">
      <c r="A23" s="17" t="s">
        <v>192</v>
      </c>
      <c r="B23" s="30" t="s">
        <v>8</v>
      </c>
      <c r="C23" s="20" t="s">
        <v>16</v>
      </c>
      <c r="D23" s="20">
        <v>1</v>
      </c>
      <c r="E23" s="16"/>
      <c r="F23" s="16">
        <f t="shared" ref="F23:F33" si="1">D23*E23</f>
        <v>0</v>
      </c>
    </row>
    <row r="24" spans="1:6" ht="43.2">
      <c r="A24" s="17" t="s">
        <v>193</v>
      </c>
      <c r="B24" s="30" t="s">
        <v>9</v>
      </c>
      <c r="C24" s="20" t="s">
        <v>16</v>
      </c>
      <c r="D24" s="20">
        <v>1</v>
      </c>
      <c r="E24" s="16"/>
      <c r="F24" s="16">
        <f t="shared" si="1"/>
        <v>0</v>
      </c>
    </row>
    <row r="25" spans="1:6">
      <c r="A25" s="17" t="s">
        <v>194</v>
      </c>
      <c r="B25" s="30" t="s">
        <v>10</v>
      </c>
      <c r="C25" s="20" t="s">
        <v>16</v>
      </c>
      <c r="D25" s="20">
        <v>1</v>
      </c>
      <c r="E25" s="16"/>
      <c r="F25" s="16">
        <f t="shared" si="1"/>
        <v>0</v>
      </c>
    </row>
    <row r="26" spans="1:6">
      <c r="A26" s="25"/>
      <c r="B26" s="160" t="s">
        <v>259</v>
      </c>
      <c r="C26" s="161"/>
      <c r="D26" s="161"/>
      <c r="E26" s="162"/>
      <c r="F26" s="83">
        <f>SUM(F20:F25)</f>
        <v>0</v>
      </c>
    </row>
    <row r="27" spans="1:6">
      <c r="A27" s="31" t="s">
        <v>24</v>
      </c>
      <c r="B27" s="32" t="s">
        <v>27</v>
      </c>
      <c r="C27" s="20"/>
      <c r="D27" s="20"/>
      <c r="E27" s="16"/>
      <c r="F27" s="110"/>
    </row>
    <row r="28" spans="1:6">
      <c r="A28" s="17" t="s">
        <v>203</v>
      </c>
      <c r="B28" s="30" t="s">
        <v>11</v>
      </c>
      <c r="C28" s="20" t="s">
        <v>12</v>
      </c>
      <c r="D28" s="20">
        <v>2</v>
      </c>
      <c r="E28" s="16"/>
      <c r="F28" s="16">
        <f t="shared" si="1"/>
        <v>0</v>
      </c>
    </row>
    <row r="29" spans="1:6">
      <c r="A29" s="25"/>
      <c r="B29" s="160" t="s">
        <v>261</v>
      </c>
      <c r="C29" s="161"/>
      <c r="D29" s="161"/>
      <c r="E29" s="162"/>
      <c r="F29" s="83">
        <f>F28</f>
        <v>0</v>
      </c>
    </row>
    <row r="30" spans="1:6">
      <c r="A30" s="31" t="s">
        <v>26</v>
      </c>
      <c r="B30" s="32" t="s">
        <v>28</v>
      </c>
      <c r="C30" s="20"/>
      <c r="D30" s="20"/>
      <c r="E30" s="16"/>
      <c r="F30" s="110"/>
    </row>
    <row r="31" spans="1:6">
      <c r="A31" s="17" t="s">
        <v>204</v>
      </c>
      <c r="B31" s="33" t="s">
        <v>163</v>
      </c>
      <c r="C31" s="20" t="s">
        <v>12</v>
      </c>
      <c r="D31" s="20">
        <v>4</v>
      </c>
      <c r="E31" s="16"/>
      <c r="F31" s="16">
        <f>D31*E31</f>
        <v>0</v>
      </c>
    </row>
    <row r="32" spans="1:6">
      <c r="A32" s="17" t="s">
        <v>205</v>
      </c>
      <c r="B32" s="24" t="s">
        <v>134</v>
      </c>
      <c r="C32" s="20" t="s">
        <v>16</v>
      </c>
      <c r="D32" s="20">
        <v>1</v>
      </c>
      <c r="E32" s="16"/>
      <c r="F32" s="16">
        <f>D32*E32</f>
        <v>0</v>
      </c>
    </row>
    <row r="33" spans="1:6" ht="28.8">
      <c r="A33" s="17" t="s">
        <v>206</v>
      </c>
      <c r="B33" s="30" t="s">
        <v>13</v>
      </c>
      <c r="C33" s="20" t="s">
        <v>16</v>
      </c>
      <c r="D33" s="34">
        <v>1</v>
      </c>
      <c r="E33" s="35"/>
      <c r="F33" s="16">
        <f t="shared" si="1"/>
        <v>0</v>
      </c>
    </row>
    <row r="34" spans="1:6">
      <c r="A34" s="25"/>
      <c r="B34" s="160" t="s">
        <v>262</v>
      </c>
      <c r="C34" s="161"/>
      <c r="D34" s="161"/>
      <c r="E34" s="162"/>
      <c r="F34" s="83">
        <f>SUM(F31:F33)</f>
        <v>0</v>
      </c>
    </row>
    <row r="35" spans="1:6">
      <c r="A35" s="13" t="s">
        <v>208</v>
      </c>
      <c r="B35" s="14" t="s">
        <v>33</v>
      </c>
      <c r="C35" s="15"/>
      <c r="D35" s="15"/>
      <c r="E35" s="16"/>
      <c r="F35" s="82"/>
    </row>
    <row r="36" spans="1:6" ht="57.6">
      <c r="A36" s="23" t="s">
        <v>209</v>
      </c>
      <c r="B36" s="24" t="s">
        <v>156</v>
      </c>
      <c r="C36" s="34" t="s">
        <v>14</v>
      </c>
      <c r="D36" s="34">
        <v>1</v>
      </c>
      <c r="E36" s="35"/>
      <c r="F36" s="16">
        <f>D36*E36</f>
        <v>0</v>
      </c>
    </row>
    <row r="37" spans="1:6" ht="57.6">
      <c r="A37" s="23" t="s">
        <v>210</v>
      </c>
      <c r="B37" s="24" t="s">
        <v>207</v>
      </c>
      <c r="C37" s="20" t="s">
        <v>14</v>
      </c>
      <c r="D37" s="20">
        <v>1</v>
      </c>
      <c r="E37" s="16"/>
      <c r="F37" s="16">
        <f t="shared" ref="F37:F45" si="2">D37*E37</f>
        <v>0</v>
      </c>
    </row>
    <row r="38" spans="1:6" ht="43.2">
      <c r="A38" s="23" t="s">
        <v>211</v>
      </c>
      <c r="B38" s="30" t="s">
        <v>30</v>
      </c>
      <c r="C38" s="20" t="s">
        <v>14</v>
      </c>
      <c r="D38" s="20">
        <v>1</v>
      </c>
      <c r="E38" s="16"/>
      <c r="F38" s="16">
        <f t="shared" si="2"/>
        <v>0</v>
      </c>
    </row>
    <row r="39" spans="1:6">
      <c r="A39" s="23" t="s">
        <v>212</v>
      </c>
      <c r="B39" s="30" t="s">
        <v>31</v>
      </c>
      <c r="C39" s="20" t="s">
        <v>16</v>
      </c>
      <c r="D39" s="20">
        <v>1</v>
      </c>
      <c r="E39" s="16"/>
      <c r="F39" s="16">
        <f t="shared" si="2"/>
        <v>0</v>
      </c>
    </row>
    <row r="40" spans="1:6">
      <c r="A40" s="23" t="s">
        <v>213</v>
      </c>
      <c r="B40" s="30" t="s">
        <v>32</v>
      </c>
      <c r="C40" s="20" t="s">
        <v>16</v>
      </c>
      <c r="D40" s="20">
        <v>1</v>
      </c>
      <c r="E40" s="16"/>
      <c r="F40" s="16">
        <f t="shared" si="2"/>
        <v>0</v>
      </c>
    </row>
    <row r="41" spans="1:6" ht="86.4">
      <c r="A41" s="23" t="s">
        <v>214</v>
      </c>
      <c r="B41" s="30" t="s">
        <v>159</v>
      </c>
      <c r="C41" s="20" t="s">
        <v>14</v>
      </c>
      <c r="D41" s="20">
        <v>1</v>
      </c>
      <c r="E41" s="16"/>
      <c r="F41" s="16">
        <f t="shared" si="2"/>
        <v>0</v>
      </c>
    </row>
    <row r="42" spans="1:6">
      <c r="A42" s="23" t="s">
        <v>215</v>
      </c>
      <c r="B42" s="30" t="s">
        <v>22</v>
      </c>
      <c r="C42" s="20" t="s">
        <v>2</v>
      </c>
      <c r="D42" s="20">
        <v>45</v>
      </c>
      <c r="E42" s="16"/>
      <c r="F42" s="16">
        <f t="shared" si="2"/>
        <v>0</v>
      </c>
    </row>
    <row r="43" spans="1:6">
      <c r="A43" s="23" t="s">
        <v>216</v>
      </c>
      <c r="B43" s="30" t="s">
        <v>34</v>
      </c>
      <c r="C43" s="20" t="s">
        <v>16</v>
      </c>
      <c r="D43" s="20">
        <v>1</v>
      </c>
      <c r="E43" s="16"/>
      <c r="F43" s="16">
        <f t="shared" si="2"/>
        <v>0</v>
      </c>
    </row>
    <row r="44" spans="1:6" ht="28.8">
      <c r="A44" s="23" t="s">
        <v>217</v>
      </c>
      <c r="B44" s="24" t="s">
        <v>218</v>
      </c>
      <c r="C44" s="20" t="s">
        <v>16</v>
      </c>
      <c r="D44" s="20">
        <v>1</v>
      </c>
      <c r="E44" s="16"/>
      <c r="F44" s="16">
        <f t="shared" si="2"/>
        <v>0</v>
      </c>
    </row>
    <row r="45" spans="1:6" ht="43.2">
      <c r="A45" s="23" t="s">
        <v>219</v>
      </c>
      <c r="B45" s="30" t="s">
        <v>15</v>
      </c>
      <c r="C45" s="20" t="s">
        <v>2</v>
      </c>
      <c r="D45" s="20">
        <v>60</v>
      </c>
      <c r="E45" s="16"/>
      <c r="F45" s="16">
        <f t="shared" si="2"/>
        <v>0</v>
      </c>
    </row>
    <row r="46" spans="1:6" ht="86.4">
      <c r="A46" s="23" t="s">
        <v>220</v>
      </c>
      <c r="B46" s="30" t="s">
        <v>195</v>
      </c>
      <c r="C46" s="20" t="s">
        <v>14</v>
      </c>
      <c r="D46" s="20">
        <v>1</v>
      </c>
      <c r="E46" s="16"/>
      <c r="F46" s="110">
        <f>D46*E46</f>
        <v>0</v>
      </c>
    </row>
    <row r="47" spans="1:6">
      <c r="A47" s="36"/>
      <c r="B47" s="160" t="s">
        <v>123</v>
      </c>
      <c r="C47" s="161"/>
      <c r="D47" s="161"/>
      <c r="E47" s="162"/>
      <c r="F47" s="83">
        <f>SUM(F36:F46)</f>
        <v>0</v>
      </c>
    </row>
    <row r="48" spans="1:6">
      <c r="A48" s="13" t="s">
        <v>29</v>
      </c>
      <c r="B48" s="14" t="s">
        <v>35</v>
      </c>
      <c r="C48" s="15"/>
      <c r="D48" s="15"/>
      <c r="E48" s="16"/>
      <c r="F48" s="82"/>
    </row>
    <row r="49" spans="1:6" ht="28.8">
      <c r="A49" s="23" t="s">
        <v>221</v>
      </c>
      <c r="B49" s="65" t="s">
        <v>309</v>
      </c>
      <c r="C49" s="38" t="s">
        <v>2</v>
      </c>
      <c r="D49" s="38">
        <v>150</v>
      </c>
      <c r="E49" s="84"/>
      <c r="F49" s="16">
        <f>D49*E49</f>
        <v>0</v>
      </c>
    </row>
    <row r="50" spans="1:6" ht="28.8">
      <c r="A50" s="23" t="s">
        <v>222</v>
      </c>
      <c r="B50" s="65" t="s">
        <v>157</v>
      </c>
      <c r="C50" s="38" t="s">
        <v>2</v>
      </c>
      <c r="D50" s="38">
        <v>50</v>
      </c>
      <c r="E50" s="84"/>
      <c r="F50" s="16">
        <f t="shared" ref="F50:F53" si="3">D50*E50</f>
        <v>0</v>
      </c>
    </row>
    <row r="51" spans="1:6">
      <c r="A51" s="23" t="s">
        <v>223</v>
      </c>
      <c r="B51" s="65" t="s">
        <v>36</v>
      </c>
      <c r="C51" s="38" t="s">
        <v>16</v>
      </c>
      <c r="D51" s="38">
        <v>5</v>
      </c>
      <c r="E51" s="84"/>
      <c r="F51" s="16">
        <f t="shared" si="3"/>
        <v>0</v>
      </c>
    </row>
    <row r="52" spans="1:6" ht="28.8">
      <c r="A52" s="23" t="s">
        <v>224</v>
      </c>
      <c r="B52" s="33" t="s">
        <v>158</v>
      </c>
      <c r="C52" s="38" t="s">
        <v>16</v>
      </c>
      <c r="D52" s="38">
        <v>8</v>
      </c>
      <c r="E52" s="84"/>
      <c r="F52" s="16">
        <f t="shared" si="3"/>
        <v>0</v>
      </c>
    </row>
    <row r="53" spans="1:6">
      <c r="A53" s="23" t="s">
        <v>225</v>
      </c>
      <c r="B53" s="33" t="s">
        <v>135</v>
      </c>
      <c r="C53" s="20" t="s">
        <v>14</v>
      </c>
      <c r="D53" s="38">
        <v>1</v>
      </c>
      <c r="E53" s="84"/>
      <c r="F53" s="16">
        <f t="shared" si="3"/>
        <v>0</v>
      </c>
    </row>
    <row r="54" spans="1:6">
      <c r="A54" s="36"/>
      <c r="B54" s="160" t="s">
        <v>263</v>
      </c>
      <c r="C54" s="161"/>
      <c r="D54" s="161"/>
      <c r="E54" s="162"/>
      <c r="F54" s="83">
        <f>SUM(F49:F53)</f>
        <v>0</v>
      </c>
    </row>
    <row r="55" spans="1:6">
      <c r="A55" s="158" t="s">
        <v>180</v>
      </c>
      <c r="B55" s="158"/>
      <c r="C55" s="158"/>
      <c r="D55" s="158"/>
      <c r="E55" s="158"/>
      <c r="F55" s="77">
        <f>F18+F26+F29+F34+F47+F54</f>
        <v>0</v>
      </c>
    </row>
    <row r="57" spans="1:6">
      <c r="A57" s="12" t="s">
        <v>228</v>
      </c>
      <c r="B57" s="157" t="s">
        <v>186</v>
      </c>
      <c r="C57" s="157"/>
      <c r="D57" s="157"/>
      <c r="E57" s="157"/>
      <c r="F57" s="157"/>
    </row>
    <row r="58" spans="1:6" ht="27.6">
      <c r="A58" s="12"/>
      <c r="B58" s="112" t="s">
        <v>227</v>
      </c>
      <c r="C58" s="112"/>
      <c r="D58" s="112"/>
      <c r="E58" s="75"/>
      <c r="F58" s="75"/>
    </row>
    <row r="59" spans="1:6">
      <c r="A59" s="113" t="s">
        <v>20</v>
      </c>
      <c r="B59" s="11" t="s">
        <v>53</v>
      </c>
      <c r="C59" s="3"/>
      <c r="D59" s="4"/>
      <c r="E59" s="76"/>
      <c r="F59" s="77"/>
    </row>
    <row r="60" spans="1:6">
      <c r="A60" s="87" t="s">
        <v>173</v>
      </c>
      <c r="B60" s="64" t="s">
        <v>54</v>
      </c>
      <c r="C60" s="39" t="s">
        <v>41</v>
      </c>
      <c r="D60" s="69">
        <v>27.5</v>
      </c>
      <c r="E60" s="78"/>
      <c r="F60" s="79">
        <f t="shared" ref="F60:F92" si="4">D60*E60</f>
        <v>0</v>
      </c>
    </row>
    <row r="61" spans="1:6">
      <c r="A61" s="87" t="s">
        <v>176</v>
      </c>
      <c r="B61" s="64" t="s">
        <v>55</v>
      </c>
      <c r="C61" s="44" t="s">
        <v>17</v>
      </c>
      <c r="D61" s="69">
        <v>5.2</v>
      </c>
      <c r="E61" s="78"/>
      <c r="F61" s="79">
        <f t="shared" si="4"/>
        <v>0</v>
      </c>
    </row>
    <row r="62" spans="1:6" ht="16.2">
      <c r="A62" s="67" t="s">
        <v>178</v>
      </c>
      <c r="B62" s="40" t="s">
        <v>196</v>
      </c>
      <c r="C62" s="44" t="s">
        <v>17</v>
      </c>
      <c r="D62" s="70">
        <f>(0.4*13*0.05)*1.1+0.6*0.6*4*0.05*1.1</f>
        <v>0.36520000000000002</v>
      </c>
      <c r="E62" s="79"/>
      <c r="F62" s="79">
        <f t="shared" si="4"/>
        <v>0</v>
      </c>
    </row>
    <row r="63" spans="1:6">
      <c r="A63" s="67" t="s">
        <v>188</v>
      </c>
      <c r="B63" s="42" t="s">
        <v>146</v>
      </c>
      <c r="C63" s="39" t="s">
        <v>17</v>
      </c>
      <c r="D63" s="70">
        <f>0.6*0.6*0.2*4*1.1</f>
        <v>0.31680000000000003</v>
      </c>
      <c r="E63" s="79"/>
      <c r="F63" s="79">
        <f t="shared" si="4"/>
        <v>0</v>
      </c>
    </row>
    <row r="64" spans="1:6">
      <c r="A64" s="67" t="s">
        <v>229</v>
      </c>
      <c r="B64" s="42" t="s">
        <v>147</v>
      </c>
      <c r="C64" s="39" t="s">
        <v>17</v>
      </c>
      <c r="D64" s="70">
        <f>0.2*0.2*1*4</f>
        <v>0.16000000000000003</v>
      </c>
      <c r="E64" s="79"/>
      <c r="F64" s="79">
        <f t="shared" si="4"/>
        <v>0</v>
      </c>
    </row>
    <row r="65" spans="1:6">
      <c r="A65" s="67" t="s">
        <v>230</v>
      </c>
      <c r="B65" s="42" t="s">
        <v>56</v>
      </c>
      <c r="C65" s="39" t="s">
        <v>41</v>
      </c>
      <c r="D65" s="70">
        <f>13*0.9*1.1+3*0.5*1.1</f>
        <v>14.520000000000003</v>
      </c>
      <c r="E65" s="79"/>
      <c r="F65" s="79">
        <f t="shared" si="4"/>
        <v>0</v>
      </c>
    </row>
    <row r="66" spans="1:6" ht="28.8">
      <c r="A66" s="67" t="s">
        <v>231</v>
      </c>
      <c r="B66" s="42" t="s">
        <v>57</v>
      </c>
      <c r="C66" s="39" t="s">
        <v>41</v>
      </c>
      <c r="D66" s="70">
        <f>4.3*0.9*1.1</f>
        <v>4.2570000000000006</v>
      </c>
      <c r="E66" s="79"/>
      <c r="F66" s="79">
        <f t="shared" si="4"/>
        <v>0</v>
      </c>
    </row>
    <row r="67" spans="1:6">
      <c r="A67" s="67" t="s">
        <v>232</v>
      </c>
      <c r="B67" s="43" t="s">
        <v>58</v>
      </c>
      <c r="C67" s="44" t="s">
        <v>17</v>
      </c>
      <c r="D67" s="71">
        <f>3.5*3*0.4*1.1</f>
        <v>4.620000000000001</v>
      </c>
      <c r="E67" s="68"/>
      <c r="F67" s="79">
        <f t="shared" si="4"/>
        <v>0</v>
      </c>
    </row>
    <row r="68" spans="1:6">
      <c r="A68" s="67" t="s">
        <v>233</v>
      </c>
      <c r="B68" s="47" t="s">
        <v>59</v>
      </c>
      <c r="C68" s="37" t="s">
        <v>51</v>
      </c>
      <c r="D68" s="72">
        <v>1</v>
      </c>
      <c r="E68" s="78"/>
      <c r="F68" s="79">
        <f t="shared" si="4"/>
        <v>0</v>
      </c>
    </row>
    <row r="69" spans="1:6">
      <c r="A69" s="67" t="s">
        <v>234</v>
      </c>
      <c r="B69" s="50" t="s">
        <v>148</v>
      </c>
      <c r="C69" s="37" t="s">
        <v>51</v>
      </c>
      <c r="D69" s="72">
        <v>1</v>
      </c>
      <c r="E69" s="78"/>
      <c r="F69" s="79">
        <f t="shared" si="4"/>
        <v>0</v>
      </c>
    </row>
    <row r="70" spans="1:6" ht="28.8">
      <c r="A70" s="67" t="s">
        <v>235</v>
      </c>
      <c r="B70" s="50" t="s">
        <v>160</v>
      </c>
      <c r="C70" s="37" t="s">
        <v>51</v>
      </c>
      <c r="D70" s="72">
        <v>1</v>
      </c>
      <c r="E70" s="78"/>
      <c r="F70" s="79">
        <f t="shared" si="4"/>
        <v>0</v>
      </c>
    </row>
    <row r="71" spans="1:6" ht="30.6">
      <c r="A71" s="67" t="s">
        <v>236</v>
      </c>
      <c r="B71" s="40" t="s">
        <v>197</v>
      </c>
      <c r="C71" s="44" t="s">
        <v>17</v>
      </c>
      <c r="D71" s="70">
        <f>3.5*3*0.1*1.1</f>
        <v>1.1550000000000002</v>
      </c>
      <c r="E71" s="79"/>
      <c r="F71" s="79">
        <f t="shared" si="4"/>
        <v>0</v>
      </c>
    </row>
    <row r="72" spans="1:6" ht="28.8">
      <c r="A72" s="67" t="s">
        <v>237</v>
      </c>
      <c r="B72" s="43" t="s">
        <v>66</v>
      </c>
      <c r="C72" s="44" t="s">
        <v>17</v>
      </c>
      <c r="D72" s="71">
        <f>0.15*0.1*13*1.1+4.3*0.15*0.9*1.1</f>
        <v>0.85304999999999997</v>
      </c>
      <c r="E72" s="46"/>
      <c r="F72" s="79">
        <f t="shared" si="4"/>
        <v>0</v>
      </c>
    </row>
    <row r="73" spans="1:6">
      <c r="A73" s="67" t="s">
        <v>238</v>
      </c>
      <c r="B73" s="40" t="s">
        <v>67</v>
      </c>
      <c r="C73" s="39" t="s">
        <v>41</v>
      </c>
      <c r="D73" s="70">
        <f>13*0.5*2*1.1+4.3*0.9*1.1</f>
        <v>18.557000000000002</v>
      </c>
      <c r="E73" s="79"/>
      <c r="F73" s="79">
        <f t="shared" si="4"/>
        <v>0</v>
      </c>
    </row>
    <row r="74" spans="1:6" ht="28.8">
      <c r="A74" s="67" t="s">
        <v>239</v>
      </c>
      <c r="B74" s="42" t="s">
        <v>138</v>
      </c>
      <c r="C74" s="39" t="s">
        <v>41</v>
      </c>
      <c r="D74" s="70">
        <f>13*0.5*2*1.1</f>
        <v>14.3</v>
      </c>
      <c r="E74" s="79"/>
      <c r="F74" s="79">
        <f t="shared" si="4"/>
        <v>0</v>
      </c>
    </row>
    <row r="75" spans="1:6">
      <c r="A75" s="67" t="s">
        <v>240</v>
      </c>
      <c r="B75" s="42" t="s">
        <v>149</v>
      </c>
      <c r="C75" s="39" t="s">
        <v>41</v>
      </c>
      <c r="D75" s="70">
        <f>3.5*3*1.15+1</f>
        <v>13.074999999999999</v>
      </c>
      <c r="E75" s="79"/>
      <c r="F75" s="79">
        <f t="shared" si="4"/>
        <v>0</v>
      </c>
    </row>
    <row r="76" spans="1:6">
      <c r="A76" s="67" t="s">
        <v>241</v>
      </c>
      <c r="B76" s="40" t="s">
        <v>68</v>
      </c>
      <c r="C76" s="39" t="s">
        <v>16</v>
      </c>
      <c r="D76" s="70">
        <v>1</v>
      </c>
      <c r="E76" s="79"/>
      <c r="F76" s="79">
        <f t="shared" si="4"/>
        <v>0</v>
      </c>
    </row>
    <row r="77" spans="1:6" ht="43.2">
      <c r="A77" s="67" t="s">
        <v>242</v>
      </c>
      <c r="B77" s="42" t="s">
        <v>150</v>
      </c>
      <c r="C77" s="39" t="s">
        <v>51</v>
      </c>
      <c r="D77" s="70">
        <v>1</v>
      </c>
      <c r="E77" s="79"/>
      <c r="F77" s="79">
        <f t="shared" si="4"/>
        <v>0</v>
      </c>
    </row>
    <row r="78" spans="1:6">
      <c r="A78" s="67"/>
      <c r="B78" s="86" t="s">
        <v>151</v>
      </c>
      <c r="C78" s="39"/>
      <c r="D78" s="70"/>
      <c r="E78" s="79"/>
      <c r="F78" s="79"/>
    </row>
    <row r="79" spans="1:6">
      <c r="A79" s="67" t="s">
        <v>243</v>
      </c>
      <c r="B79" s="42" t="s">
        <v>152</v>
      </c>
      <c r="C79" s="39" t="s">
        <v>2</v>
      </c>
      <c r="D79" s="70">
        <f>3*6</f>
        <v>18</v>
      </c>
      <c r="E79" s="79"/>
      <c r="F79" s="79">
        <f t="shared" si="4"/>
        <v>0</v>
      </c>
    </row>
    <row r="80" spans="1:6">
      <c r="A80" s="67"/>
      <c r="B80" s="86" t="s">
        <v>50</v>
      </c>
      <c r="C80" s="39"/>
      <c r="D80" s="70"/>
      <c r="E80" s="79"/>
      <c r="F80" s="79">
        <f t="shared" si="4"/>
        <v>0</v>
      </c>
    </row>
    <row r="81" spans="1:6">
      <c r="A81" s="67" t="s">
        <v>244</v>
      </c>
      <c r="B81" s="42" t="s">
        <v>153</v>
      </c>
      <c r="C81" s="39" t="s">
        <v>2</v>
      </c>
      <c r="D81" s="70">
        <f>6</f>
        <v>6</v>
      </c>
      <c r="E81" s="79"/>
      <c r="F81" s="79">
        <f t="shared" si="4"/>
        <v>0</v>
      </c>
    </row>
    <row r="82" spans="1:6">
      <c r="A82" s="67" t="s">
        <v>245</v>
      </c>
      <c r="B82" s="42" t="s">
        <v>139</v>
      </c>
      <c r="C82" s="39" t="s">
        <v>2</v>
      </c>
      <c r="D82" s="70">
        <f>3*6*1.1</f>
        <v>19.8</v>
      </c>
      <c r="E82" s="79"/>
      <c r="F82" s="79">
        <f t="shared" si="4"/>
        <v>0</v>
      </c>
    </row>
    <row r="83" spans="1:6">
      <c r="A83" s="67" t="s">
        <v>246</v>
      </c>
      <c r="B83" s="42" t="s">
        <v>69</v>
      </c>
      <c r="C83" s="39" t="s">
        <v>41</v>
      </c>
      <c r="D83" s="70">
        <f>3.5*3*1.2</f>
        <v>12.6</v>
      </c>
      <c r="E83" s="79"/>
      <c r="F83" s="79">
        <f t="shared" si="4"/>
        <v>0</v>
      </c>
    </row>
    <row r="84" spans="1:6" ht="28.8">
      <c r="A84" s="67" t="s">
        <v>247</v>
      </c>
      <c r="B84" s="42" t="s">
        <v>154</v>
      </c>
      <c r="C84" s="39" t="s">
        <v>41</v>
      </c>
      <c r="D84" s="70">
        <f>6*0.08*3*2*1.2+0.05*6*3*1.2</f>
        <v>4.5359999999999996</v>
      </c>
      <c r="E84" s="79"/>
      <c r="F84" s="79">
        <f t="shared" si="4"/>
        <v>0</v>
      </c>
    </row>
    <row r="85" spans="1:6">
      <c r="A85" s="67" t="s">
        <v>248</v>
      </c>
      <c r="B85" s="42" t="s">
        <v>70</v>
      </c>
      <c r="C85" s="39" t="s">
        <v>51</v>
      </c>
      <c r="D85" s="70">
        <v>1</v>
      </c>
      <c r="E85" s="79"/>
      <c r="F85" s="79">
        <f t="shared" si="4"/>
        <v>0</v>
      </c>
    </row>
    <row r="86" spans="1:6" ht="28.8">
      <c r="A86" s="67" t="s">
        <v>249</v>
      </c>
      <c r="B86" s="42" t="s">
        <v>155</v>
      </c>
      <c r="C86" s="39" t="s">
        <v>51</v>
      </c>
      <c r="D86" s="70">
        <v>1</v>
      </c>
      <c r="E86" s="79"/>
      <c r="F86" s="68">
        <f t="shared" si="4"/>
        <v>0</v>
      </c>
    </row>
    <row r="87" spans="1:6">
      <c r="A87" s="67"/>
      <c r="B87" s="86" t="s">
        <v>181</v>
      </c>
      <c r="C87" s="39"/>
      <c r="D87" s="70"/>
      <c r="E87" s="79"/>
      <c r="F87" s="68"/>
    </row>
    <row r="88" spans="1:6">
      <c r="A88" s="67" t="s">
        <v>250</v>
      </c>
      <c r="B88" s="42" t="s">
        <v>182</v>
      </c>
      <c r="C88" s="39" t="s">
        <v>17</v>
      </c>
      <c r="D88" s="70">
        <f>1*1*0.1*3*1.1</f>
        <v>0.33000000000000007</v>
      </c>
      <c r="E88" s="79"/>
      <c r="F88" s="68">
        <f t="shared" si="4"/>
        <v>0</v>
      </c>
    </row>
    <row r="89" spans="1:6">
      <c r="A89" s="67" t="s">
        <v>251</v>
      </c>
      <c r="B89" s="42" t="s">
        <v>147</v>
      </c>
      <c r="C89" s="39" t="s">
        <v>17</v>
      </c>
      <c r="D89" s="70">
        <f>0.15*0.15*1.9*1.1*4*3</f>
        <v>0.56430000000000002</v>
      </c>
      <c r="E89" s="79"/>
      <c r="F89" s="68">
        <f t="shared" si="4"/>
        <v>0</v>
      </c>
    </row>
    <row r="90" spans="1:6" ht="28.8">
      <c r="A90" s="67" t="s">
        <v>252</v>
      </c>
      <c r="B90" s="42" t="s">
        <v>183</v>
      </c>
      <c r="C90" s="39" t="s">
        <v>17</v>
      </c>
      <c r="D90" s="70">
        <f>0.1*4*1*1.1*3</f>
        <v>1.3200000000000003</v>
      </c>
      <c r="E90" s="79"/>
      <c r="F90" s="68">
        <f t="shared" si="4"/>
        <v>0</v>
      </c>
    </row>
    <row r="91" spans="1:6" ht="28.8">
      <c r="A91" s="67" t="s">
        <v>253</v>
      </c>
      <c r="B91" s="42" t="s">
        <v>184</v>
      </c>
      <c r="C91" s="39" t="s">
        <v>41</v>
      </c>
      <c r="D91" s="70">
        <f>(1*4*2+(1*1))*3</f>
        <v>27</v>
      </c>
      <c r="E91" s="79"/>
      <c r="F91" s="68">
        <f t="shared" si="4"/>
        <v>0</v>
      </c>
    </row>
    <row r="92" spans="1:6">
      <c r="A92" s="67" t="s">
        <v>254</v>
      </c>
      <c r="B92" s="40" t="s">
        <v>71</v>
      </c>
      <c r="C92" s="39" t="s">
        <v>16</v>
      </c>
      <c r="D92" s="70">
        <v>3</v>
      </c>
      <c r="E92" s="79"/>
      <c r="F92" s="68">
        <f t="shared" si="4"/>
        <v>0</v>
      </c>
    </row>
    <row r="93" spans="1:6">
      <c r="A93" s="51"/>
      <c r="B93" s="163" t="s">
        <v>52</v>
      </c>
      <c r="C93" s="163"/>
      <c r="D93" s="163"/>
      <c r="E93" s="163"/>
      <c r="F93" s="80">
        <f>SUM(F60:F92)</f>
        <v>0</v>
      </c>
    </row>
    <row r="94" spans="1:6">
      <c r="A94" s="4" t="s">
        <v>21</v>
      </c>
      <c r="B94" s="164" t="s">
        <v>73</v>
      </c>
      <c r="C94" s="164"/>
      <c r="D94" s="164"/>
      <c r="E94" s="164"/>
      <c r="F94" s="164"/>
    </row>
    <row r="95" spans="1:6">
      <c r="A95" s="67" t="s">
        <v>189</v>
      </c>
      <c r="B95" s="40" t="s">
        <v>74</v>
      </c>
      <c r="C95" s="39" t="s">
        <v>17</v>
      </c>
      <c r="D95" s="41">
        <f>10*5*0.13*1.1</f>
        <v>7.15</v>
      </c>
      <c r="E95" s="79"/>
      <c r="F95" s="79">
        <f>D95*E95</f>
        <v>0</v>
      </c>
    </row>
    <row r="96" spans="1:6">
      <c r="A96" s="67" t="s">
        <v>190</v>
      </c>
      <c r="B96" s="53" t="s">
        <v>75</v>
      </c>
      <c r="C96" s="39" t="s">
        <v>17</v>
      </c>
      <c r="D96" s="54">
        <f>10*5*0.45*1.1</f>
        <v>24.750000000000004</v>
      </c>
      <c r="E96" s="79"/>
      <c r="F96" s="79">
        <f t="shared" ref="F96:F99" si="5">D96*E96</f>
        <v>0</v>
      </c>
    </row>
    <row r="97" spans="1:6">
      <c r="A97" s="67" t="s">
        <v>191</v>
      </c>
      <c r="B97" s="39" t="s">
        <v>76</v>
      </c>
      <c r="C97" s="39" t="s">
        <v>41</v>
      </c>
      <c r="D97" s="39">
        <f>30*0.4*1.1</f>
        <v>13.200000000000001</v>
      </c>
      <c r="E97" s="79"/>
      <c r="F97" s="79">
        <f t="shared" si="5"/>
        <v>0</v>
      </c>
    </row>
    <row r="98" spans="1:6" ht="28.8">
      <c r="A98" s="67" t="s">
        <v>192</v>
      </c>
      <c r="B98" s="42" t="s">
        <v>140</v>
      </c>
      <c r="C98" s="39" t="s">
        <v>17</v>
      </c>
      <c r="D98" s="39">
        <f>10*5*0.08*1.1</f>
        <v>4.4000000000000004</v>
      </c>
      <c r="E98" s="79"/>
      <c r="F98" s="79">
        <f t="shared" si="5"/>
        <v>0</v>
      </c>
    </row>
    <row r="99" spans="1:6">
      <c r="A99" s="67" t="s">
        <v>193</v>
      </c>
      <c r="B99" s="53" t="s">
        <v>77</v>
      </c>
      <c r="C99" s="39" t="s">
        <v>41</v>
      </c>
      <c r="D99" s="54">
        <f>30*0.4*1.1</f>
        <v>13.200000000000001</v>
      </c>
      <c r="E99" s="79"/>
      <c r="F99" s="79">
        <f t="shared" si="5"/>
        <v>0</v>
      </c>
    </row>
    <row r="100" spans="1:6">
      <c r="A100" s="51"/>
      <c r="B100" s="163" t="s">
        <v>72</v>
      </c>
      <c r="C100" s="163"/>
      <c r="D100" s="163"/>
      <c r="E100" s="163"/>
      <c r="F100" s="80">
        <f>SUM(F95:F99)</f>
        <v>0</v>
      </c>
    </row>
    <row r="101" spans="1:6">
      <c r="A101" s="158" t="s">
        <v>264</v>
      </c>
      <c r="B101" s="158"/>
      <c r="C101" s="158"/>
      <c r="D101" s="158"/>
      <c r="E101" s="158"/>
      <c r="F101" s="81">
        <f>F93+F100</f>
        <v>0</v>
      </c>
    </row>
    <row r="103" spans="1:6">
      <c r="A103" s="12" t="s">
        <v>255</v>
      </c>
      <c r="B103" s="157" t="s">
        <v>186</v>
      </c>
      <c r="C103" s="157"/>
      <c r="D103" s="157"/>
      <c r="E103" s="157"/>
      <c r="F103" s="157"/>
    </row>
    <row r="104" spans="1:6" ht="27.6">
      <c r="A104" s="12"/>
      <c r="B104" s="112" t="s">
        <v>256</v>
      </c>
      <c r="C104" s="112"/>
      <c r="D104" s="112"/>
      <c r="E104" s="75"/>
      <c r="F104" s="75"/>
    </row>
    <row r="105" spans="1:6">
      <c r="A105" s="4" t="s">
        <v>20</v>
      </c>
      <c r="B105" s="164" t="s">
        <v>78</v>
      </c>
      <c r="C105" s="164"/>
      <c r="D105" s="164"/>
      <c r="E105" s="164"/>
      <c r="F105" s="164"/>
    </row>
    <row r="106" spans="1:6">
      <c r="A106" s="67" t="s">
        <v>173</v>
      </c>
      <c r="B106" s="40" t="s">
        <v>54</v>
      </c>
      <c r="C106" s="39" t="s">
        <v>41</v>
      </c>
      <c r="D106" s="41">
        <f>(15.5+2)*(10+2)</f>
        <v>210</v>
      </c>
      <c r="E106" s="68"/>
      <c r="F106" s="79">
        <f>D106*E106</f>
        <v>0</v>
      </c>
    </row>
    <row r="107" spans="1:6">
      <c r="A107" s="67" t="s">
        <v>176</v>
      </c>
      <c r="B107" s="40" t="s">
        <v>79</v>
      </c>
      <c r="C107" s="39" t="s">
        <v>17</v>
      </c>
      <c r="D107" s="41">
        <f>0.6*0.6*0.6*12*1.1</f>
        <v>2.8512000000000004</v>
      </c>
      <c r="E107" s="79"/>
      <c r="F107" s="79">
        <f>D107*E107</f>
        <v>0</v>
      </c>
    </row>
    <row r="108" spans="1:6">
      <c r="A108" s="67" t="s">
        <v>178</v>
      </c>
      <c r="B108" s="43" t="s">
        <v>80</v>
      </c>
      <c r="C108" s="39" t="s">
        <v>17</v>
      </c>
      <c r="D108" s="55">
        <f>0.4*0.4*86.5*1.1</f>
        <v>15.224000000000006</v>
      </c>
      <c r="E108" s="46"/>
      <c r="F108" s="79">
        <f>D108*E108</f>
        <v>0</v>
      </c>
    </row>
    <row r="109" spans="1:6" ht="30.6">
      <c r="A109" s="67" t="s">
        <v>188</v>
      </c>
      <c r="B109" s="42" t="s">
        <v>198</v>
      </c>
      <c r="C109" s="39" t="s">
        <v>17</v>
      </c>
      <c r="D109" s="41">
        <f>(0.6*0.6*12*0.05+0.4*0.4*86.5*0.05)*1.1</f>
        <v>0.99880000000000024</v>
      </c>
      <c r="E109" s="79"/>
      <c r="F109" s="79">
        <f t="shared" ref="F109:F116" si="6">D109*E109</f>
        <v>0</v>
      </c>
    </row>
    <row r="110" spans="1:6" ht="30.6">
      <c r="A110" s="67" t="s">
        <v>229</v>
      </c>
      <c r="B110" s="40" t="s">
        <v>199</v>
      </c>
      <c r="C110" s="39" t="s">
        <v>17</v>
      </c>
      <c r="D110" s="41">
        <f>0.6*0.6*0.2*12*1.1</f>
        <v>0.95039999999999991</v>
      </c>
      <c r="E110" s="79"/>
      <c r="F110" s="79">
        <f t="shared" si="6"/>
        <v>0</v>
      </c>
    </row>
    <row r="111" spans="1:6">
      <c r="A111" s="67" t="s">
        <v>230</v>
      </c>
      <c r="B111" s="40" t="s">
        <v>56</v>
      </c>
      <c r="C111" s="39" t="s">
        <v>41</v>
      </c>
      <c r="D111" s="41">
        <f>86.5*0.4</f>
        <v>34.6</v>
      </c>
      <c r="E111" s="79"/>
      <c r="F111" s="79">
        <f t="shared" si="6"/>
        <v>0</v>
      </c>
    </row>
    <row r="112" spans="1:6">
      <c r="A112" s="67" t="s">
        <v>231</v>
      </c>
      <c r="B112" s="40" t="s">
        <v>81</v>
      </c>
      <c r="C112" s="39" t="s">
        <v>17</v>
      </c>
      <c r="D112" s="41">
        <f>0.2*0.2*1*12*1.1</f>
        <v>0.52800000000000014</v>
      </c>
      <c r="E112" s="79"/>
      <c r="F112" s="79">
        <f t="shared" si="6"/>
        <v>0</v>
      </c>
    </row>
    <row r="113" spans="1:6" ht="16.2">
      <c r="A113" s="67" t="s">
        <v>232</v>
      </c>
      <c r="B113" s="40" t="s">
        <v>200</v>
      </c>
      <c r="C113" s="39" t="s">
        <v>17</v>
      </c>
      <c r="D113" s="41">
        <f>0.2*0.2*86.5*1.05</f>
        <v>3.6330000000000009</v>
      </c>
      <c r="E113" s="79"/>
      <c r="F113" s="79">
        <f t="shared" si="6"/>
        <v>0</v>
      </c>
    </row>
    <row r="114" spans="1:6" ht="16.2">
      <c r="A114" s="67" t="s">
        <v>233</v>
      </c>
      <c r="B114" s="40" t="s">
        <v>201</v>
      </c>
      <c r="C114" s="39" t="s">
        <v>17</v>
      </c>
      <c r="D114" s="41">
        <f>0.2*0.2*2*10+0.2*0.2*1*2</f>
        <v>0.88000000000000012</v>
      </c>
      <c r="E114" s="79"/>
      <c r="F114" s="79">
        <f t="shared" si="6"/>
        <v>0</v>
      </c>
    </row>
    <row r="115" spans="1:6" ht="28.8">
      <c r="A115" s="67" t="s">
        <v>234</v>
      </c>
      <c r="B115" s="42" t="s">
        <v>143</v>
      </c>
      <c r="C115" s="39" t="s">
        <v>41</v>
      </c>
      <c r="D115" s="41">
        <f>46.7*1.2*1.1</f>
        <v>61.644000000000005</v>
      </c>
      <c r="E115" s="79"/>
      <c r="F115" s="79">
        <f t="shared" si="6"/>
        <v>0</v>
      </c>
    </row>
    <row r="116" spans="1:6">
      <c r="A116" s="67" t="s">
        <v>235</v>
      </c>
      <c r="B116" s="42" t="s">
        <v>82</v>
      </c>
      <c r="C116" s="39" t="s">
        <v>41</v>
      </c>
      <c r="D116" s="41">
        <f>46.7*1.2*2*1.1</f>
        <v>123.28800000000001</v>
      </c>
      <c r="E116" s="79"/>
      <c r="F116" s="79">
        <f t="shared" si="6"/>
        <v>0</v>
      </c>
    </row>
    <row r="117" spans="1:6">
      <c r="A117" s="67" t="s">
        <v>236</v>
      </c>
      <c r="B117" s="43" t="s">
        <v>83</v>
      </c>
      <c r="C117" s="44" t="s">
        <v>17</v>
      </c>
      <c r="D117" s="45">
        <f>0.15*0.1*46.7*1.1</f>
        <v>0.77055000000000007</v>
      </c>
      <c r="E117" s="46"/>
      <c r="F117" s="46">
        <f>E117*D117</f>
        <v>0</v>
      </c>
    </row>
    <row r="118" spans="1:6">
      <c r="A118" s="67" t="s">
        <v>237</v>
      </c>
      <c r="B118" s="43" t="s">
        <v>58</v>
      </c>
      <c r="C118" s="44" t="s">
        <v>17</v>
      </c>
      <c r="D118" s="45">
        <f>15.5*10*0.4</f>
        <v>62</v>
      </c>
      <c r="E118" s="46"/>
      <c r="F118" s="46">
        <f>E118*D118</f>
        <v>0</v>
      </c>
    </row>
    <row r="119" spans="1:6" ht="28.8">
      <c r="A119" s="67" t="s">
        <v>238</v>
      </c>
      <c r="B119" s="43" t="s">
        <v>136</v>
      </c>
      <c r="C119" s="44" t="s">
        <v>17</v>
      </c>
      <c r="D119" s="45">
        <f>15.5*10*0.05</f>
        <v>7.75</v>
      </c>
      <c r="E119" s="46"/>
      <c r="F119" s="46">
        <f>E119*D119</f>
        <v>0</v>
      </c>
    </row>
    <row r="120" spans="1:6">
      <c r="A120" s="67" t="s">
        <v>239</v>
      </c>
      <c r="B120" s="43" t="s">
        <v>137</v>
      </c>
      <c r="C120" s="39" t="s">
        <v>41</v>
      </c>
      <c r="D120" s="45">
        <f>15.5*10*1.15</f>
        <v>178.25</v>
      </c>
      <c r="E120" s="46"/>
      <c r="F120" s="46">
        <f>E120*D120</f>
        <v>0</v>
      </c>
    </row>
    <row r="121" spans="1:6" ht="30.6">
      <c r="A121" s="67" t="s">
        <v>240</v>
      </c>
      <c r="B121" s="42" t="s">
        <v>202</v>
      </c>
      <c r="C121" s="39" t="s">
        <v>17</v>
      </c>
      <c r="D121" s="41">
        <f>15.5*10*0.08</f>
        <v>12.4</v>
      </c>
      <c r="E121" s="79"/>
      <c r="F121" s="79">
        <f t="shared" ref="F121:F132" si="7">D121*E121</f>
        <v>0</v>
      </c>
    </row>
    <row r="122" spans="1:6" ht="28.8">
      <c r="A122" s="67" t="s">
        <v>241</v>
      </c>
      <c r="B122" s="42" t="s">
        <v>141</v>
      </c>
      <c r="C122" s="39" t="s">
        <v>84</v>
      </c>
      <c r="D122" s="41">
        <f>2*3*0.15*1.05</f>
        <v>0.94499999999999995</v>
      </c>
      <c r="E122" s="79"/>
      <c r="F122" s="79">
        <f t="shared" si="7"/>
        <v>0</v>
      </c>
    </row>
    <row r="123" spans="1:6" ht="28.8">
      <c r="A123" s="67" t="s">
        <v>242</v>
      </c>
      <c r="B123" s="42" t="s">
        <v>138</v>
      </c>
      <c r="C123" s="39" t="s">
        <v>41</v>
      </c>
      <c r="D123" s="41">
        <f>46.7*1.2*2*1.1</f>
        <v>123.28800000000001</v>
      </c>
      <c r="E123" s="79"/>
      <c r="F123" s="79">
        <f t="shared" si="7"/>
        <v>0</v>
      </c>
    </row>
    <row r="124" spans="1:6">
      <c r="A124" s="67" t="s">
        <v>243</v>
      </c>
      <c r="B124" s="42" t="s">
        <v>145</v>
      </c>
      <c r="C124" s="39" t="s">
        <v>41</v>
      </c>
      <c r="D124" s="41">
        <f>1.2*1.2*1.1</f>
        <v>1.5840000000000001</v>
      </c>
      <c r="E124" s="79"/>
      <c r="F124" s="79">
        <f t="shared" si="7"/>
        <v>0</v>
      </c>
    </row>
    <row r="125" spans="1:6" ht="43.2">
      <c r="A125" s="67" t="s">
        <v>244</v>
      </c>
      <c r="B125" s="40" t="s">
        <v>85</v>
      </c>
      <c r="C125" s="39" t="s">
        <v>84</v>
      </c>
      <c r="D125" s="41">
        <v>1</v>
      </c>
      <c r="E125" s="79"/>
      <c r="F125" s="79">
        <f t="shared" si="7"/>
        <v>0</v>
      </c>
    </row>
    <row r="126" spans="1:6" ht="28.8">
      <c r="A126" s="67" t="s">
        <v>245</v>
      </c>
      <c r="B126" s="40" t="s">
        <v>86</v>
      </c>
      <c r="C126" s="39" t="s">
        <v>84</v>
      </c>
      <c r="D126" s="41">
        <v>1</v>
      </c>
      <c r="E126" s="79"/>
      <c r="F126" s="79">
        <f t="shared" si="7"/>
        <v>0</v>
      </c>
    </row>
    <row r="127" spans="1:6" ht="57.6">
      <c r="A127" s="67" t="s">
        <v>246</v>
      </c>
      <c r="B127" s="42" t="s">
        <v>162</v>
      </c>
      <c r="C127" s="39" t="s">
        <v>51</v>
      </c>
      <c r="D127" s="41">
        <v>1</v>
      </c>
      <c r="E127" s="79"/>
      <c r="F127" s="79">
        <f t="shared" si="7"/>
        <v>0</v>
      </c>
    </row>
    <row r="128" spans="1:6" ht="28.8">
      <c r="A128" s="67" t="s">
        <v>247</v>
      </c>
      <c r="B128" s="40" t="s">
        <v>87</v>
      </c>
      <c r="C128" s="39" t="s">
        <v>17</v>
      </c>
      <c r="D128" s="41">
        <f>2*2*0.05</f>
        <v>0.2</v>
      </c>
      <c r="E128" s="79"/>
      <c r="F128" s="79">
        <f t="shared" si="7"/>
        <v>0</v>
      </c>
    </row>
    <row r="129" spans="1:6">
      <c r="A129" s="67" t="s">
        <v>248</v>
      </c>
      <c r="B129" s="40" t="s">
        <v>88</v>
      </c>
      <c r="C129" s="39" t="s">
        <v>17</v>
      </c>
      <c r="D129" s="41">
        <f>2*2*0.15*1.1</f>
        <v>0.66</v>
      </c>
      <c r="E129" s="79"/>
      <c r="F129" s="79">
        <f t="shared" si="7"/>
        <v>0</v>
      </c>
    </row>
    <row r="130" spans="1:6" ht="28.8">
      <c r="A130" s="67" t="s">
        <v>249</v>
      </c>
      <c r="B130" s="40" t="s">
        <v>89</v>
      </c>
      <c r="C130" s="39" t="s">
        <v>41</v>
      </c>
      <c r="D130" s="41">
        <f>8*1.5</f>
        <v>12</v>
      </c>
      <c r="E130" s="79"/>
      <c r="F130" s="79">
        <f t="shared" si="7"/>
        <v>0</v>
      </c>
    </row>
    <row r="131" spans="1:6">
      <c r="A131" s="67" t="s">
        <v>250</v>
      </c>
      <c r="B131" s="40" t="s">
        <v>90</v>
      </c>
      <c r="C131" s="39" t="s">
        <v>41</v>
      </c>
      <c r="D131" s="41">
        <f>8*1.5</f>
        <v>12</v>
      </c>
      <c r="E131" s="79"/>
      <c r="F131" s="79">
        <f t="shared" si="7"/>
        <v>0</v>
      </c>
    </row>
    <row r="132" spans="1:6" ht="28.8">
      <c r="A132" s="67" t="s">
        <v>251</v>
      </c>
      <c r="B132" s="40" t="s">
        <v>91</v>
      </c>
      <c r="C132" s="39" t="s">
        <v>17</v>
      </c>
      <c r="D132" s="41">
        <f>2*2*0.2*1.1</f>
        <v>0.88000000000000012</v>
      </c>
      <c r="E132" s="79"/>
      <c r="F132" s="79">
        <f t="shared" si="7"/>
        <v>0</v>
      </c>
    </row>
    <row r="133" spans="1:6">
      <c r="A133" s="51"/>
      <c r="B133" s="165" t="s">
        <v>52</v>
      </c>
      <c r="C133" s="166"/>
      <c r="D133" s="166"/>
      <c r="E133" s="167"/>
      <c r="F133" s="52">
        <f>SUM(F106:F132)</f>
        <v>0</v>
      </c>
    </row>
    <row r="134" spans="1:6">
      <c r="A134" s="158" t="s">
        <v>180</v>
      </c>
      <c r="B134" s="158"/>
      <c r="C134" s="158"/>
      <c r="D134" s="158"/>
      <c r="E134" s="158"/>
      <c r="F134" s="66">
        <f>F133</f>
        <v>0</v>
      </c>
    </row>
    <row r="136" spans="1:6">
      <c r="A136" s="12" t="s">
        <v>257</v>
      </c>
      <c r="B136" s="157" t="s">
        <v>186</v>
      </c>
      <c r="C136" s="157"/>
      <c r="D136" s="157"/>
      <c r="E136" s="157"/>
      <c r="F136" s="157"/>
    </row>
    <row r="137" spans="1:6">
      <c r="A137" s="12"/>
      <c r="B137" s="112" t="s">
        <v>258</v>
      </c>
      <c r="C137" s="112"/>
      <c r="D137" s="112"/>
      <c r="E137" s="75"/>
      <c r="F137" s="75"/>
    </row>
    <row r="138" spans="1:6">
      <c r="A138" s="113" t="s">
        <v>170</v>
      </c>
      <c r="B138" s="11" t="s">
        <v>171</v>
      </c>
      <c r="C138" s="3" t="s">
        <v>38</v>
      </c>
      <c r="D138" s="4" t="s">
        <v>42</v>
      </c>
      <c r="E138" s="76" t="s">
        <v>167</v>
      </c>
      <c r="F138" s="77" t="s">
        <v>172</v>
      </c>
    </row>
    <row r="139" spans="1:6">
      <c r="A139" s="168" t="s">
        <v>92</v>
      </c>
      <c r="B139" s="168"/>
      <c r="C139" s="57"/>
      <c r="D139" s="58"/>
      <c r="E139" s="59"/>
      <c r="F139" s="59"/>
    </row>
    <row r="140" spans="1:6">
      <c r="A140" s="90" t="s">
        <v>173</v>
      </c>
      <c r="B140" s="56" t="s">
        <v>93</v>
      </c>
      <c r="C140" s="38" t="s">
        <v>41</v>
      </c>
      <c r="D140" s="48">
        <f>(2.3+2)*(2.3+2)</f>
        <v>18.489999999999998</v>
      </c>
      <c r="E140" s="49"/>
      <c r="F140" s="49">
        <f>E140*D140</f>
        <v>0</v>
      </c>
    </row>
    <row r="141" spans="1:6">
      <c r="A141" s="90" t="s">
        <v>176</v>
      </c>
      <c r="B141" s="56" t="s">
        <v>94</v>
      </c>
      <c r="C141" s="37" t="s">
        <v>84</v>
      </c>
      <c r="D141" s="48">
        <v>1</v>
      </c>
      <c r="E141" s="49"/>
      <c r="F141" s="49">
        <f>E141*D141</f>
        <v>0</v>
      </c>
    </row>
    <row r="142" spans="1:6">
      <c r="A142" s="90" t="s">
        <v>178</v>
      </c>
      <c r="B142" s="56" t="s">
        <v>95</v>
      </c>
      <c r="C142" s="37" t="s">
        <v>17</v>
      </c>
      <c r="D142" s="48">
        <f>2.3*2.3*1*1.1</f>
        <v>5.819</v>
      </c>
      <c r="E142" s="49"/>
      <c r="F142" s="49">
        <f t="shared" ref="F142:F143" si="8">E142*D142</f>
        <v>0</v>
      </c>
    </row>
    <row r="143" spans="1:6">
      <c r="A143" s="90" t="s">
        <v>188</v>
      </c>
      <c r="B143" s="56" t="s">
        <v>49</v>
      </c>
      <c r="C143" s="37" t="s">
        <v>17</v>
      </c>
      <c r="D143" s="48">
        <f>D142</f>
        <v>5.819</v>
      </c>
      <c r="E143" s="49"/>
      <c r="F143" s="49">
        <f t="shared" si="8"/>
        <v>0</v>
      </c>
    </row>
    <row r="144" spans="1:6">
      <c r="A144" s="91"/>
      <c r="B144" s="169" t="s">
        <v>270</v>
      </c>
      <c r="C144" s="169"/>
      <c r="D144" s="169"/>
      <c r="E144" s="169"/>
      <c r="F144" s="89">
        <f>SUM(F140:F143)</f>
        <v>0</v>
      </c>
    </row>
    <row r="145" spans="1:6">
      <c r="A145" s="92" t="s">
        <v>96</v>
      </c>
      <c r="B145" s="60"/>
      <c r="C145" s="57"/>
      <c r="D145" s="58"/>
      <c r="E145" s="59"/>
      <c r="F145" s="59"/>
    </row>
    <row r="146" spans="1:6">
      <c r="A146" s="90" t="s">
        <v>189</v>
      </c>
      <c r="B146" s="56" t="s">
        <v>97</v>
      </c>
      <c r="C146" s="37" t="s">
        <v>17</v>
      </c>
      <c r="D146" s="48">
        <f>2.3*2.3*0.1*1.1</f>
        <v>0.58189999999999997</v>
      </c>
      <c r="E146" s="49"/>
      <c r="F146" s="49">
        <f>E146*D146</f>
        <v>0</v>
      </c>
    </row>
    <row r="147" spans="1:6">
      <c r="A147" s="90" t="s">
        <v>190</v>
      </c>
      <c r="B147" s="56" t="s">
        <v>98</v>
      </c>
      <c r="C147" s="37" t="s">
        <v>17</v>
      </c>
      <c r="D147" s="48">
        <f>2.3*2.3*0.1*1.1</f>
        <v>0.58189999999999997</v>
      </c>
      <c r="E147" s="49"/>
      <c r="F147" s="49">
        <f t="shared" ref="F147:F155" si="9">E147*D147</f>
        <v>0</v>
      </c>
    </row>
    <row r="148" spans="1:6">
      <c r="A148" s="90" t="s">
        <v>191</v>
      </c>
      <c r="B148" s="56" t="s">
        <v>99</v>
      </c>
      <c r="C148" s="37" t="s">
        <v>17</v>
      </c>
      <c r="D148" s="48">
        <f>0.15*0.15*3.4*4*1.1+0.15*0.15*1*1.1</f>
        <v>0.36135</v>
      </c>
      <c r="E148" s="49"/>
      <c r="F148" s="49">
        <f t="shared" si="9"/>
        <v>0</v>
      </c>
    </row>
    <row r="149" spans="1:6">
      <c r="A149" s="90" t="s">
        <v>192</v>
      </c>
      <c r="B149" s="47" t="s">
        <v>100</v>
      </c>
      <c r="C149" s="37" t="s">
        <v>17</v>
      </c>
      <c r="D149" s="48">
        <f>0.2*0.2*13.8*1.1</f>
        <v>0.60720000000000018</v>
      </c>
      <c r="E149" s="49"/>
      <c r="F149" s="49">
        <f t="shared" si="9"/>
        <v>0</v>
      </c>
    </row>
    <row r="150" spans="1:6">
      <c r="A150" s="90" t="s">
        <v>193</v>
      </c>
      <c r="B150" s="56" t="s">
        <v>101</v>
      </c>
      <c r="C150" s="37" t="s">
        <v>17</v>
      </c>
      <c r="D150" s="48">
        <f>2.3*2.3*0.08*1.1</f>
        <v>0.46551999999999999</v>
      </c>
      <c r="E150" s="49"/>
      <c r="F150" s="49">
        <f t="shared" si="9"/>
        <v>0</v>
      </c>
    </row>
    <row r="151" spans="1:6">
      <c r="A151" s="90" t="s">
        <v>194</v>
      </c>
      <c r="B151" s="56" t="s">
        <v>102</v>
      </c>
      <c r="C151" s="38" t="s">
        <v>41</v>
      </c>
      <c r="D151" s="48">
        <f>9.2*1*1.1</f>
        <v>10.119999999999999</v>
      </c>
      <c r="E151" s="49"/>
      <c r="F151" s="49">
        <f t="shared" si="9"/>
        <v>0</v>
      </c>
    </row>
    <row r="152" spans="1:6" ht="28.8">
      <c r="A152" s="90" t="s">
        <v>271</v>
      </c>
      <c r="B152" s="56" t="s">
        <v>103</v>
      </c>
      <c r="C152" s="38" t="s">
        <v>41</v>
      </c>
      <c r="D152" s="48">
        <f>9.2*2.4*1.1</f>
        <v>24.288</v>
      </c>
      <c r="E152" s="49"/>
      <c r="F152" s="49">
        <f t="shared" si="9"/>
        <v>0</v>
      </c>
    </row>
    <row r="153" spans="1:6" ht="28.8">
      <c r="A153" s="90" t="s">
        <v>272</v>
      </c>
      <c r="B153" s="56" t="s">
        <v>104</v>
      </c>
      <c r="C153" s="37" t="s">
        <v>17</v>
      </c>
      <c r="D153" s="48">
        <f>9.2*0.2*0.2*1.1</f>
        <v>0.40480000000000005</v>
      </c>
      <c r="E153" s="49"/>
      <c r="F153" s="49">
        <f t="shared" si="9"/>
        <v>0</v>
      </c>
    </row>
    <row r="154" spans="1:6" ht="28.8">
      <c r="A154" s="93" t="s">
        <v>273</v>
      </c>
      <c r="B154" s="47" t="s">
        <v>142</v>
      </c>
      <c r="C154" s="88" t="s">
        <v>17</v>
      </c>
      <c r="D154" s="61">
        <f>2.3*0.6*0.08*2*1.2</f>
        <v>0.26495999999999997</v>
      </c>
      <c r="E154" s="62"/>
      <c r="F154" s="62">
        <f t="shared" si="9"/>
        <v>0</v>
      </c>
    </row>
    <row r="155" spans="1:6">
      <c r="A155" s="90" t="s">
        <v>274</v>
      </c>
      <c r="B155" s="56" t="s">
        <v>105</v>
      </c>
      <c r="C155" s="37" t="s">
        <v>17</v>
      </c>
      <c r="D155" s="48">
        <f>(0.7*0.3*0.15+0.7*0.3*0.3+0.7*0.3*0.45)*1.1</f>
        <v>0.20790000000000003</v>
      </c>
      <c r="E155" s="49"/>
      <c r="F155" s="49">
        <f t="shared" si="9"/>
        <v>0</v>
      </c>
    </row>
    <row r="156" spans="1:6">
      <c r="A156" s="91"/>
      <c r="B156" s="169" t="s">
        <v>269</v>
      </c>
      <c r="C156" s="169"/>
      <c r="D156" s="169"/>
      <c r="E156" s="169"/>
      <c r="F156" s="89">
        <f>SUM(F146:F155)</f>
        <v>0</v>
      </c>
    </row>
    <row r="157" spans="1:6">
      <c r="A157" s="94" t="s">
        <v>24</v>
      </c>
      <c r="B157" s="63" t="s">
        <v>106</v>
      </c>
      <c r="C157" s="57"/>
      <c r="D157" s="58"/>
      <c r="E157" s="59"/>
      <c r="F157" s="59"/>
    </row>
    <row r="158" spans="1:6" ht="28.8">
      <c r="A158" s="90" t="s">
        <v>203</v>
      </c>
      <c r="B158" s="56" t="s">
        <v>107</v>
      </c>
      <c r="C158" s="38" t="s">
        <v>41</v>
      </c>
      <c r="D158" s="48">
        <f>(9.2*1+2.3*2*1)*1.1</f>
        <v>15.18</v>
      </c>
      <c r="E158" s="49"/>
      <c r="F158" s="49">
        <f>E158*D158</f>
        <v>0</v>
      </c>
    </row>
    <row r="159" spans="1:6" ht="28.8">
      <c r="A159" s="90" t="s">
        <v>275</v>
      </c>
      <c r="B159" s="56" t="s">
        <v>108</v>
      </c>
      <c r="C159" s="38" t="s">
        <v>41</v>
      </c>
      <c r="D159" s="48">
        <f>9.2*2.4*2*1.1</f>
        <v>48.576000000000001</v>
      </c>
      <c r="E159" s="49"/>
      <c r="F159" s="49">
        <f>E159*D159</f>
        <v>0</v>
      </c>
    </row>
    <row r="160" spans="1:6">
      <c r="A160" s="90" t="s">
        <v>276</v>
      </c>
      <c r="B160" s="56" t="s">
        <v>109</v>
      </c>
      <c r="C160" s="38" t="s">
        <v>41</v>
      </c>
      <c r="D160" s="48">
        <f>2.3*2.3*1.1</f>
        <v>5.819</v>
      </c>
      <c r="E160" s="49"/>
      <c r="F160" s="49">
        <f t="shared" ref="F160:F163" si="10">E160*D160</f>
        <v>0</v>
      </c>
    </row>
    <row r="161" spans="1:6" ht="28.8">
      <c r="A161" s="90" t="s">
        <v>277</v>
      </c>
      <c r="B161" s="56" t="s">
        <v>110</v>
      </c>
      <c r="C161" s="38" t="s">
        <v>41</v>
      </c>
      <c r="D161" s="48">
        <f>2.3*2.3*1.1</f>
        <v>5.819</v>
      </c>
      <c r="E161" s="49"/>
      <c r="F161" s="49">
        <f t="shared" si="10"/>
        <v>0</v>
      </c>
    </row>
    <row r="162" spans="1:6" ht="28.8">
      <c r="A162" s="90" t="s">
        <v>278</v>
      </c>
      <c r="B162" s="56" t="s">
        <v>111</v>
      </c>
      <c r="C162" s="38" t="s">
        <v>41</v>
      </c>
      <c r="D162" s="48">
        <f>9.2*1*1.1</f>
        <v>10.119999999999999</v>
      </c>
      <c r="E162" s="49"/>
      <c r="F162" s="49">
        <f t="shared" si="10"/>
        <v>0</v>
      </c>
    </row>
    <row r="163" spans="1:6" ht="28.8">
      <c r="A163" s="90" t="s">
        <v>279</v>
      </c>
      <c r="B163" s="56" t="s">
        <v>161</v>
      </c>
      <c r="C163" s="38" t="s">
        <v>41</v>
      </c>
      <c r="D163" s="48">
        <f>9.2*2.4</f>
        <v>22.08</v>
      </c>
      <c r="E163" s="49"/>
      <c r="F163" s="49">
        <f t="shared" si="10"/>
        <v>0</v>
      </c>
    </row>
    <row r="164" spans="1:6">
      <c r="A164" s="91"/>
      <c r="B164" s="169" t="s">
        <v>268</v>
      </c>
      <c r="C164" s="169"/>
      <c r="D164" s="169"/>
      <c r="E164" s="169"/>
      <c r="F164" s="89">
        <f>SUM(F158:F163)</f>
        <v>0</v>
      </c>
    </row>
    <row r="165" spans="1:6">
      <c r="A165" s="168" t="s">
        <v>112</v>
      </c>
      <c r="B165" s="168"/>
      <c r="C165" s="57"/>
      <c r="D165" s="58"/>
      <c r="E165" s="59"/>
      <c r="F165" s="59"/>
    </row>
    <row r="166" spans="1:6" ht="43.2">
      <c r="A166" s="90" t="s">
        <v>204</v>
      </c>
      <c r="B166" s="64" t="s">
        <v>113</v>
      </c>
      <c r="C166" s="37" t="s">
        <v>16</v>
      </c>
      <c r="D166" s="48">
        <v>1</v>
      </c>
      <c r="E166" s="49"/>
      <c r="F166" s="49">
        <f>E166*D166</f>
        <v>0</v>
      </c>
    </row>
    <row r="167" spans="1:6" ht="28.8">
      <c r="A167" s="90" t="s">
        <v>205</v>
      </c>
      <c r="B167" s="64" t="s">
        <v>114</v>
      </c>
      <c r="C167" s="37" t="s">
        <v>16</v>
      </c>
      <c r="D167" s="48">
        <v>2</v>
      </c>
      <c r="E167" s="49"/>
      <c r="F167" s="49">
        <f t="shared" ref="F167" si="11">E167*D167</f>
        <v>0</v>
      </c>
    </row>
    <row r="168" spans="1:6">
      <c r="A168" s="91"/>
      <c r="B168" s="169" t="s">
        <v>267</v>
      </c>
      <c r="C168" s="169"/>
      <c r="D168" s="169"/>
      <c r="E168" s="169"/>
      <c r="F168" s="89">
        <f>SUM(F166:F167)</f>
        <v>0</v>
      </c>
    </row>
    <row r="169" spans="1:6">
      <c r="A169" s="168" t="s">
        <v>281</v>
      </c>
      <c r="B169" s="168"/>
      <c r="C169" s="57"/>
      <c r="D169" s="58"/>
      <c r="E169" s="59"/>
      <c r="F169" s="59"/>
    </row>
    <row r="170" spans="1:6">
      <c r="A170" s="97" t="s">
        <v>209</v>
      </c>
      <c r="B170" s="111" t="s">
        <v>115</v>
      </c>
      <c r="C170" s="37" t="s">
        <v>41</v>
      </c>
      <c r="D170" s="48">
        <f>2.8*2.8*1.1</f>
        <v>8.6239999999999988</v>
      </c>
      <c r="E170" s="49"/>
      <c r="F170" s="49">
        <f>D170*E170</f>
        <v>0</v>
      </c>
    </row>
    <row r="171" spans="1:6" ht="28.8">
      <c r="A171" s="97" t="s">
        <v>210</v>
      </c>
      <c r="B171" s="111" t="s">
        <v>116</v>
      </c>
      <c r="C171" s="37" t="s">
        <v>2</v>
      </c>
      <c r="D171" s="48">
        <v>7</v>
      </c>
      <c r="E171" s="49"/>
      <c r="F171" s="49">
        <f t="shared" ref="F171:F172" si="12">D171*E171</f>
        <v>0</v>
      </c>
    </row>
    <row r="172" spans="1:6">
      <c r="A172" s="97" t="s">
        <v>211</v>
      </c>
      <c r="B172" s="111" t="s">
        <v>117</v>
      </c>
      <c r="C172" s="37" t="s">
        <v>16</v>
      </c>
      <c r="D172" s="48">
        <v>25</v>
      </c>
      <c r="E172" s="49"/>
      <c r="F172" s="49">
        <f t="shared" si="12"/>
        <v>0</v>
      </c>
    </row>
    <row r="173" spans="1:6">
      <c r="A173" s="91"/>
      <c r="B173" s="169" t="s">
        <v>280</v>
      </c>
      <c r="C173" s="169"/>
      <c r="D173" s="169"/>
      <c r="E173" s="169"/>
      <c r="F173" s="89">
        <f>SUM(F170:F172)</f>
        <v>0</v>
      </c>
    </row>
    <row r="174" spans="1:6">
      <c r="A174" s="168" t="s">
        <v>282</v>
      </c>
      <c r="B174" s="168"/>
      <c r="C174" s="57"/>
      <c r="D174" s="58"/>
      <c r="E174" s="59"/>
      <c r="F174" s="59"/>
    </row>
    <row r="175" spans="1:6" ht="43.2">
      <c r="A175" s="90" t="s">
        <v>221</v>
      </c>
      <c r="B175" s="56" t="s">
        <v>118</v>
      </c>
      <c r="C175" s="37" t="s">
        <v>2</v>
      </c>
      <c r="D175" s="96">
        <f>6.8*1.1</f>
        <v>7.48</v>
      </c>
      <c r="E175" s="49"/>
      <c r="F175" s="49">
        <f>E175*D175</f>
        <v>0</v>
      </c>
    </row>
    <row r="176" spans="1:6">
      <c r="A176" s="90" t="s">
        <v>222</v>
      </c>
      <c r="B176" s="56" t="s">
        <v>119</v>
      </c>
      <c r="C176" s="37" t="s">
        <v>2</v>
      </c>
      <c r="D176" s="96">
        <f>8*1.1</f>
        <v>8.8000000000000007</v>
      </c>
      <c r="E176" s="49"/>
      <c r="F176" s="49">
        <f t="shared" ref="F176:F188" si="13">E176*D176</f>
        <v>0</v>
      </c>
    </row>
    <row r="177" spans="1:6">
      <c r="A177" s="90" t="s">
        <v>223</v>
      </c>
      <c r="B177" s="56" t="s">
        <v>120</v>
      </c>
      <c r="C177" s="37" t="s">
        <v>16</v>
      </c>
      <c r="D177" s="96">
        <v>2</v>
      </c>
      <c r="E177" s="49"/>
      <c r="F177" s="49">
        <f>D177*E177</f>
        <v>0</v>
      </c>
    </row>
    <row r="178" spans="1:6">
      <c r="A178" s="90" t="s">
        <v>224</v>
      </c>
      <c r="B178" s="56" t="s">
        <v>121</v>
      </c>
      <c r="C178" s="37" t="s">
        <v>16</v>
      </c>
      <c r="D178" s="96">
        <v>2</v>
      </c>
      <c r="E178" s="49"/>
      <c r="F178" s="49">
        <f t="shared" ref="F178:F179" si="14">D178*E178</f>
        <v>0</v>
      </c>
    </row>
    <row r="179" spans="1:6">
      <c r="A179" s="90" t="s">
        <v>225</v>
      </c>
      <c r="B179" s="56" t="s">
        <v>60</v>
      </c>
      <c r="C179" s="37" t="s">
        <v>61</v>
      </c>
      <c r="D179" s="96">
        <v>1</v>
      </c>
      <c r="E179" s="49"/>
      <c r="F179" s="49">
        <f t="shared" si="14"/>
        <v>0</v>
      </c>
    </row>
    <row r="180" spans="1:6" ht="28.8">
      <c r="A180" s="90" t="s">
        <v>296</v>
      </c>
      <c r="B180" s="56" t="s">
        <v>122</v>
      </c>
      <c r="C180" s="37"/>
      <c r="D180" s="96"/>
      <c r="E180" s="49"/>
      <c r="F180" s="49"/>
    </row>
    <row r="181" spans="1:6">
      <c r="A181" s="90" t="s">
        <v>297</v>
      </c>
      <c r="B181" s="56" t="s">
        <v>62</v>
      </c>
      <c r="C181" s="37" t="s">
        <v>17</v>
      </c>
      <c r="D181" s="96">
        <f>3.14*1*1*1.6*1.1</f>
        <v>5.5264000000000015</v>
      </c>
      <c r="E181" s="49"/>
      <c r="F181" s="49">
        <f>D181*E181</f>
        <v>0</v>
      </c>
    </row>
    <row r="182" spans="1:6">
      <c r="A182" s="90" t="s">
        <v>298</v>
      </c>
      <c r="B182" s="56" t="s">
        <v>63</v>
      </c>
      <c r="C182" s="37" t="s">
        <v>17</v>
      </c>
      <c r="D182" s="96">
        <f>3.14*1*1*1.6*1.1</f>
        <v>5.5264000000000015</v>
      </c>
      <c r="E182" s="49"/>
      <c r="F182" s="49">
        <f>D182*E182</f>
        <v>0</v>
      </c>
    </row>
    <row r="183" spans="1:6">
      <c r="A183" s="90" t="s">
        <v>299</v>
      </c>
      <c r="B183" s="56" t="s">
        <v>64</v>
      </c>
      <c r="C183" s="37" t="s">
        <v>2</v>
      </c>
      <c r="D183" s="96">
        <f>3*1.1</f>
        <v>3.3000000000000003</v>
      </c>
      <c r="E183" s="49"/>
      <c r="F183" s="49">
        <f>D183*E183</f>
        <v>0</v>
      </c>
    </row>
    <row r="184" spans="1:6">
      <c r="A184" s="90" t="s">
        <v>300</v>
      </c>
      <c r="B184" s="56" t="s">
        <v>65</v>
      </c>
      <c r="C184" s="37" t="s">
        <v>17</v>
      </c>
      <c r="D184" s="96">
        <f>3.14*1*1*0.06*1.1</f>
        <v>0.20724000000000004</v>
      </c>
      <c r="E184" s="49"/>
      <c r="F184" s="49">
        <f>D184*E184</f>
        <v>0</v>
      </c>
    </row>
    <row r="185" spans="1:6">
      <c r="A185" s="91"/>
      <c r="B185" s="169" t="s">
        <v>263</v>
      </c>
      <c r="C185" s="169"/>
      <c r="D185" s="169"/>
      <c r="E185" s="169"/>
      <c r="F185" s="89">
        <f>SUM(F175:F184)</f>
        <v>0</v>
      </c>
    </row>
    <row r="186" spans="1:6">
      <c r="A186" s="168" t="s">
        <v>283</v>
      </c>
      <c r="B186" s="168"/>
      <c r="C186" s="57"/>
      <c r="D186" s="58"/>
      <c r="E186" s="59"/>
      <c r="F186" s="59"/>
    </row>
    <row r="187" spans="1:6">
      <c r="A187" s="90" t="s">
        <v>294</v>
      </c>
      <c r="B187" s="47" t="s">
        <v>144</v>
      </c>
      <c r="C187" s="37" t="s">
        <v>40</v>
      </c>
      <c r="D187" s="96">
        <f>0.7*1.8*0.95*0.6*2+0.8*1*4</f>
        <v>4.6364000000000001</v>
      </c>
      <c r="E187" s="49"/>
      <c r="F187" s="49">
        <f t="shared" si="13"/>
        <v>0</v>
      </c>
    </row>
    <row r="188" spans="1:6">
      <c r="A188" s="90" t="s">
        <v>295</v>
      </c>
      <c r="B188" s="56" t="s">
        <v>124</v>
      </c>
      <c r="C188" s="37" t="s">
        <v>40</v>
      </c>
      <c r="D188" s="96">
        <f>D159</f>
        <v>48.576000000000001</v>
      </c>
      <c r="E188" s="49"/>
      <c r="F188" s="49">
        <f t="shared" si="13"/>
        <v>0</v>
      </c>
    </row>
    <row r="189" spans="1:6">
      <c r="A189" s="95"/>
      <c r="B189" s="169" t="s">
        <v>266</v>
      </c>
      <c r="C189" s="169"/>
      <c r="D189" s="169"/>
      <c r="E189" s="169"/>
      <c r="F189" s="89">
        <f>SUM(F187:F188)</f>
        <v>0</v>
      </c>
    </row>
    <row r="190" spans="1:6">
      <c r="A190" s="168" t="s">
        <v>284</v>
      </c>
      <c r="B190" s="168"/>
      <c r="C190" s="57"/>
      <c r="D190" s="58"/>
      <c r="E190" s="59"/>
      <c r="F190" s="59"/>
    </row>
    <row r="191" spans="1:6" ht="28.8">
      <c r="A191" s="90" t="s">
        <v>292</v>
      </c>
      <c r="B191" s="56" t="s">
        <v>125</v>
      </c>
      <c r="C191" s="37" t="s">
        <v>16</v>
      </c>
      <c r="D191" s="96">
        <v>1</v>
      </c>
      <c r="E191" s="49"/>
      <c r="F191" s="49">
        <f>E191*D191</f>
        <v>0</v>
      </c>
    </row>
    <row r="192" spans="1:6" ht="28.8">
      <c r="A192" s="90" t="s">
        <v>293</v>
      </c>
      <c r="B192" s="56" t="s">
        <v>126</v>
      </c>
      <c r="C192" s="37" t="s">
        <v>16</v>
      </c>
      <c r="D192" s="96">
        <v>2</v>
      </c>
      <c r="E192" s="49"/>
      <c r="F192" s="49">
        <f t="shared" ref="F192" si="15">E192*D192</f>
        <v>0</v>
      </c>
    </row>
    <row r="193" spans="1:6">
      <c r="A193" s="91"/>
      <c r="B193" s="169" t="s">
        <v>265</v>
      </c>
      <c r="C193" s="169"/>
      <c r="D193" s="169"/>
      <c r="E193" s="169"/>
      <c r="F193" s="89">
        <f>SUM(F191:F192)</f>
        <v>0</v>
      </c>
    </row>
    <row r="194" spans="1:6">
      <c r="A194" s="164" t="s">
        <v>285</v>
      </c>
      <c r="B194" s="164"/>
      <c r="C194" s="57"/>
      <c r="D194" s="58"/>
      <c r="E194" s="59"/>
      <c r="F194" s="59"/>
    </row>
    <row r="195" spans="1:6">
      <c r="A195" s="90" t="s">
        <v>287</v>
      </c>
      <c r="B195" s="56" t="s">
        <v>127</v>
      </c>
      <c r="C195" s="37" t="s">
        <v>16</v>
      </c>
      <c r="D195" s="96">
        <v>2</v>
      </c>
      <c r="E195" s="49"/>
      <c r="F195" s="49">
        <f>E195*D195</f>
        <v>0</v>
      </c>
    </row>
    <row r="196" spans="1:6">
      <c r="A196" s="90" t="s">
        <v>288</v>
      </c>
      <c r="B196" s="56" t="s">
        <v>128</v>
      </c>
      <c r="C196" s="37" t="s">
        <v>16</v>
      </c>
      <c r="D196" s="96">
        <v>2</v>
      </c>
      <c r="E196" s="49"/>
      <c r="F196" s="49">
        <f>E196*D196</f>
        <v>0</v>
      </c>
    </row>
    <row r="197" spans="1:6">
      <c r="A197" s="90" t="s">
        <v>289</v>
      </c>
      <c r="B197" s="56" t="s">
        <v>129</v>
      </c>
      <c r="C197" s="37" t="s">
        <v>16</v>
      </c>
      <c r="D197" s="96">
        <v>2</v>
      </c>
      <c r="E197" s="49"/>
      <c r="F197" s="49">
        <f t="shared" ref="F197:F199" si="16">E197*D197</f>
        <v>0</v>
      </c>
    </row>
    <row r="198" spans="1:6">
      <c r="A198" s="90" t="s">
        <v>290</v>
      </c>
      <c r="B198" s="56" t="s">
        <v>130</v>
      </c>
      <c r="C198" s="37" t="s">
        <v>16</v>
      </c>
      <c r="D198" s="96">
        <v>5</v>
      </c>
      <c r="E198" s="49"/>
      <c r="F198" s="49">
        <f t="shared" si="16"/>
        <v>0</v>
      </c>
    </row>
    <row r="199" spans="1:6" ht="43.2">
      <c r="A199" s="90" t="s">
        <v>291</v>
      </c>
      <c r="B199" s="56" t="s">
        <v>131</v>
      </c>
      <c r="C199" s="37" t="s">
        <v>16</v>
      </c>
      <c r="D199" s="96">
        <v>1</v>
      </c>
      <c r="E199" s="49"/>
      <c r="F199" s="49">
        <f t="shared" si="16"/>
        <v>0</v>
      </c>
    </row>
    <row r="200" spans="1:6">
      <c r="A200" s="91"/>
      <c r="B200" s="169" t="s">
        <v>286</v>
      </c>
      <c r="C200" s="169"/>
      <c r="D200" s="169"/>
      <c r="E200" s="169"/>
      <c r="F200" s="89">
        <f>SUM(F195:F199)</f>
        <v>0</v>
      </c>
    </row>
    <row r="201" spans="1:6">
      <c r="A201" s="158" t="s">
        <v>180</v>
      </c>
      <c r="B201" s="158"/>
      <c r="C201" s="158"/>
      <c r="D201" s="158"/>
      <c r="E201" s="158"/>
      <c r="F201" s="59">
        <f>F144+F156+F164+F168+F173+F185+F189+F193+F200</f>
        <v>0</v>
      </c>
    </row>
  </sheetData>
  <mergeCells count="41">
    <mergeCell ref="B193:E193"/>
    <mergeCell ref="A194:B194"/>
    <mergeCell ref="B200:E200"/>
    <mergeCell ref="A201:E201"/>
    <mergeCell ref="A174:B174"/>
    <mergeCell ref="B185:E185"/>
    <mergeCell ref="A186:B186"/>
    <mergeCell ref="B189:E189"/>
    <mergeCell ref="A190:B190"/>
    <mergeCell ref="B164:E164"/>
    <mergeCell ref="A165:B165"/>
    <mergeCell ref="B168:E168"/>
    <mergeCell ref="A169:B169"/>
    <mergeCell ref="B173:E173"/>
    <mergeCell ref="A134:E134"/>
    <mergeCell ref="B136:F136"/>
    <mergeCell ref="A139:B139"/>
    <mergeCell ref="B144:E144"/>
    <mergeCell ref="B156:E156"/>
    <mergeCell ref="B100:E100"/>
    <mergeCell ref="A101:E101"/>
    <mergeCell ref="B103:F103"/>
    <mergeCell ref="B105:F105"/>
    <mergeCell ref="B133:E133"/>
    <mergeCell ref="B54:E54"/>
    <mergeCell ref="A55:E55"/>
    <mergeCell ref="B57:F57"/>
    <mergeCell ref="B93:E93"/>
    <mergeCell ref="B94:F94"/>
    <mergeCell ref="B10:F10"/>
    <mergeCell ref="B26:E26"/>
    <mergeCell ref="B29:E29"/>
    <mergeCell ref="B34:E34"/>
    <mergeCell ref="B47:E47"/>
    <mergeCell ref="B3:F3"/>
    <mergeCell ref="A8:E8"/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scale="80" fitToHeight="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459ba1-d069-4054-931e-809bfd6e5ad5">
      <Terms xmlns="http://schemas.microsoft.com/office/infopath/2007/PartnerControls"/>
    </lcf76f155ced4ddcb4097134ff3c332f>
    <TaxCatchAll xmlns="e56af110-7c81-4256-a1ad-6f371c6f586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0A785B77B759940831C1257E23B191E" ma:contentTypeVersion="14" ma:contentTypeDescription="Ein neues Dokument erstellen." ma:contentTypeScope="" ma:versionID="23baf40366d6b16e5257752bfde48023">
  <xsd:schema xmlns:xsd="http://www.w3.org/2001/XMLSchema" xmlns:xs="http://www.w3.org/2001/XMLSchema" xmlns:p="http://schemas.microsoft.com/office/2006/metadata/properties" xmlns:ns2="2a459ba1-d069-4054-931e-809bfd6e5ad5" xmlns:ns3="e56af110-7c81-4256-a1ad-6f371c6f5867" targetNamespace="http://schemas.microsoft.com/office/2006/metadata/properties" ma:root="true" ma:fieldsID="9ce5e20e14344477e6b844bd37060fd8" ns2:_="" ns3:_="">
    <xsd:import namespace="2a459ba1-d069-4054-931e-809bfd6e5ad5"/>
    <xsd:import namespace="e56af110-7c81-4256-a1ad-6f371c6f58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59ba1-d069-4054-931e-809bfd6e5a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6af110-7c81-4256-a1ad-6f371c6f586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fd439972-131b-4084-8a9b-2f0b6eea7b9d}" ma:internalName="TaxCatchAll" ma:showField="CatchAllData" ma:web="e56af110-7c81-4256-a1ad-6f371c6f58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421B71-9832-420F-A53B-A707C53FA5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F7DE0E-19E4-45CD-8D00-CFADB11AF833}">
  <ds:schemaRefs>
    <ds:schemaRef ds:uri="http://schemas.microsoft.com/office/2006/metadata/properties"/>
    <ds:schemaRef ds:uri="http://schemas.microsoft.com/office/infopath/2007/PartnerControls"/>
    <ds:schemaRef ds:uri="2a459ba1-d069-4054-931e-809bfd6e5ad5"/>
    <ds:schemaRef ds:uri="e56af110-7c81-4256-a1ad-6f371c6f5867"/>
  </ds:schemaRefs>
</ds:datastoreItem>
</file>

<file path=customXml/itemProps3.xml><?xml version="1.0" encoding="utf-8"?>
<ds:datastoreItem xmlns:ds="http://schemas.openxmlformats.org/officeDocument/2006/customXml" ds:itemID="{A7BFD69E-1A0F-4F49-AC9E-83A36EC9EF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459ba1-d069-4054-931e-809bfd6e5ad5"/>
    <ds:schemaRef ds:uri="e56af110-7c81-4256-a1ad-6f371c6f58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1_RECAP</vt:lpstr>
      <vt:lpstr>Lot 2_RECAP</vt:lpstr>
      <vt:lpstr>Lot 3_RECAP</vt:lpstr>
      <vt:lpstr>DQE_Lot 1-3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DAOUDA KEITA</dc:creator>
  <cp:lastModifiedBy>Camara, Fily Pierre GIZ ML</cp:lastModifiedBy>
  <cp:lastPrinted>2025-07-31T07:50:32Z</cp:lastPrinted>
  <dcterms:created xsi:type="dcterms:W3CDTF">2025-06-03T23:01:21Z</dcterms:created>
  <dcterms:modified xsi:type="dcterms:W3CDTF">2025-10-02T09:11:46Z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0x01010020A785B77B759940831C1257E23B191E</vt:lpwstr>
  </property>
  <property fmtid="{D5CDD505-2E9C-101B-9397-08002B2CF9AE}" pid="3" name="MediaServiceImageTags">
    <vt:lpwstr/>
  </property>
</Properties>
</file>