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HL\Documents\doc liste\LINKEDIN\POSTS\"/>
    </mc:Choice>
  </mc:AlternateContent>
  <xr:revisionPtr revIDLastSave="0" documentId="8_{FAED4978-DAF8-4F3F-BCF8-33465944729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Entrées" sheetId="1" r:id="rId1"/>
    <sheet name="Tableau de bord" sheetId="2" r:id="rId2"/>
    <sheet name="Prévision 13 semaines" sheetId="3" r:id="rId3"/>
    <sheet name="Actions" sheetId="4" r:id="rId4"/>
  </sheets>
  <definedNames>
    <definedName name="CA_Mensuel">Entrées!$B$4</definedName>
    <definedName name="CashDepart">Entrées!$B$3</definedName>
    <definedName name="DPO">Entrées!$B$8</definedName>
    <definedName name="DSO">Entrées!$B$7</definedName>
    <definedName name="FraisFixes">Entrées!$B$6</definedName>
    <definedName name="LigneCredit">Entrées!$B$9</definedName>
    <definedName name="MargeBrute">Entrées!$B$5</definedName>
    <definedName name="Reserve48h">Entrées!$B$10</definedName>
    <definedName name="SemParMois">Entrées!$B$13</definedName>
    <definedName name="Var_10">Entrées!$B$11</definedName>
    <definedName name="Var_20">Entrées!$B$12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3" l="1"/>
  <c r="K14" i="3"/>
  <c r="H14" i="3"/>
  <c r="G14" i="3"/>
  <c r="I14" i="3" s="1"/>
  <c r="C14" i="3"/>
  <c r="B14" i="3"/>
  <c r="D14" i="3" s="1"/>
  <c r="L13" i="3"/>
  <c r="K13" i="3"/>
  <c r="H13" i="3"/>
  <c r="G13" i="3"/>
  <c r="C13" i="3"/>
  <c r="B13" i="3"/>
  <c r="D13" i="3" s="1"/>
  <c r="L12" i="3"/>
  <c r="K12" i="3"/>
  <c r="M12" i="3" s="1"/>
  <c r="H12" i="3"/>
  <c r="G12" i="3"/>
  <c r="I12" i="3" s="1"/>
  <c r="C12" i="3"/>
  <c r="B12" i="3"/>
  <c r="L11" i="3"/>
  <c r="K11" i="3"/>
  <c r="M11" i="3" s="1"/>
  <c r="H11" i="3"/>
  <c r="G11" i="3"/>
  <c r="I11" i="3" s="1"/>
  <c r="C11" i="3"/>
  <c r="B11" i="3"/>
  <c r="D11" i="3" s="1"/>
  <c r="L10" i="3"/>
  <c r="K10" i="3"/>
  <c r="H10" i="3"/>
  <c r="G10" i="3"/>
  <c r="I10" i="3" s="1"/>
  <c r="C10" i="3"/>
  <c r="B10" i="3"/>
  <c r="D10" i="3" s="1"/>
  <c r="L9" i="3"/>
  <c r="K9" i="3"/>
  <c r="M9" i="3" s="1"/>
  <c r="H9" i="3"/>
  <c r="G9" i="3"/>
  <c r="C9" i="3"/>
  <c r="B9" i="3"/>
  <c r="D9" i="3" s="1"/>
  <c r="L8" i="3"/>
  <c r="K8" i="3"/>
  <c r="M8" i="3" s="1"/>
  <c r="H8" i="3"/>
  <c r="G8" i="3"/>
  <c r="I8" i="3" s="1"/>
  <c r="C8" i="3"/>
  <c r="B8" i="3"/>
  <c r="L7" i="3"/>
  <c r="K7" i="3"/>
  <c r="M7" i="3" s="1"/>
  <c r="H7" i="3"/>
  <c r="G7" i="3"/>
  <c r="I7" i="3" s="1"/>
  <c r="C7" i="3"/>
  <c r="B7" i="3"/>
  <c r="D7" i="3" s="1"/>
  <c r="L6" i="3"/>
  <c r="K6" i="3"/>
  <c r="H6" i="3"/>
  <c r="G6" i="3"/>
  <c r="I6" i="3" s="1"/>
  <c r="C6" i="3"/>
  <c r="B6" i="3"/>
  <c r="D6" i="3" s="1"/>
  <c r="L5" i="3"/>
  <c r="K5" i="3"/>
  <c r="M5" i="3" s="1"/>
  <c r="H5" i="3"/>
  <c r="G5" i="3"/>
  <c r="C5" i="3"/>
  <c r="B5" i="3"/>
  <c r="D5" i="3" s="1"/>
  <c r="L4" i="3"/>
  <c r="K4" i="3"/>
  <c r="M4" i="3" s="1"/>
  <c r="H4" i="3"/>
  <c r="G4" i="3"/>
  <c r="I4" i="3" s="1"/>
  <c r="C4" i="3"/>
  <c r="B4" i="3"/>
  <c r="L3" i="3"/>
  <c r="K3" i="3"/>
  <c r="M3" i="3" s="1"/>
  <c r="H3" i="3"/>
  <c r="G3" i="3"/>
  <c r="I3" i="3" s="1"/>
  <c r="C3" i="3"/>
  <c r="B3" i="3"/>
  <c r="D3" i="3" s="1"/>
  <c r="L2" i="3"/>
  <c r="K2" i="3"/>
  <c r="H2" i="3"/>
  <c r="G2" i="3"/>
  <c r="I2" i="3" s="1"/>
  <c r="J2" i="3" s="1"/>
  <c r="C2" i="3"/>
  <c r="B2" i="3"/>
  <c r="D2" i="3" s="1"/>
  <c r="E2" i="3" s="1"/>
  <c r="B4" i="2"/>
  <c r="D4" i="2" s="1"/>
  <c r="B3" i="2"/>
  <c r="B5" i="2" s="1"/>
  <c r="B6" i="2" s="1"/>
  <c r="D2" i="2"/>
  <c r="D3" i="2" s="1"/>
  <c r="D5" i="2" s="1"/>
  <c r="D6" i="2" s="1"/>
  <c r="C2" i="2"/>
  <c r="C3" i="2" s="1"/>
  <c r="C5" i="2" s="1"/>
  <c r="C6" i="2" s="1"/>
  <c r="B2" i="2"/>
  <c r="M2" i="3" l="1"/>
  <c r="N2" i="3" s="1"/>
  <c r="N3" i="3" s="1"/>
  <c r="N4" i="3" s="1"/>
  <c r="N5" i="3" s="1"/>
  <c r="N6" i="3" s="1"/>
  <c r="N7" i="3" s="1"/>
  <c r="N8" i="3" s="1"/>
  <c r="N9" i="3" s="1"/>
  <c r="N10" i="3" s="1"/>
  <c r="N11" i="3" s="1"/>
  <c r="N12" i="3" s="1"/>
  <c r="D4" i="3"/>
  <c r="I5" i="3"/>
  <c r="M6" i="3"/>
  <c r="D8" i="3"/>
  <c r="I9" i="3"/>
  <c r="M10" i="3"/>
  <c r="D12" i="3"/>
  <c r="I13" i="3"/>
  <c r="M13" i="3"/>
  <c r="M14" i="3"/>
  <c r="E3" i="3"/>
  <c r="E4" i="3" s="1"/>
  <c r="E5" i="3" s="1"/>
  <c r="E6" i="3" s="1"/>
  <c r="E7" i="3" s="1"/>
  <c r="J3" i="3"/>
  <c r="J4" i="3" s="1"/>
  <c r="J5" i="3" s="1"/>
  <c r="J6" i="3" s="1"/>
  <c r="J7" i="3" s="1"/>
  <c r="J8" i="3" s="1"/>
  <c r="J9" i="3" s="1"/>
  <c r="J10" i="3" s="1"/>
  <c r="J11" i="3" s="1"/>
  <c r="J12" i="3" s="1"/>
  <c r="C4" i="2"/>
  <c r="J13" i="3" l="1"/>
  <c r="J14" i="3" s="1"/>
  <c r="E8" i="3"/>
  <c r="E9" i="3" s="1"/>
  <c r="E10" i="3" s="1"/>
  <c r="E11" i="3" s="1"/>
  <c r="E12" i="3" s="1"/>
  <c r="E13" i="3" s="1"/>
  <c r="E14" i="3" s="1"/>
  <c r="N13" i="3"/>
  <c r="N14" i="3" s="1"/>
</calcChain>
</file>

<file path=xl/sharedStrings.xml><?xml version="1.0" encoding="utf-8"?>
<sst xmlns="http://schemas.openxmlformats.org/spreadsheetml/2006/main" count="58" uniqueCount="58">
  <si>
    <t>Indicateur</t>
  </si>
  <si>
    <t>Valeur</t>
  </si>
  <si>
    <t>PARAMÈTRES GÉNÉRAUX</t>
  </si>
  <si>
    <t>Trésorerie de départ (€)</t>
  </si>
  <si>
    <t>Chiffre d'affaires mensuel actuel (€)</t>
  </si>
  <si>
    <t>Taux de marge brute (%)</t>
  </si>
  <si>
    <t>Frais fixes mensuels (hors achats) (€)</t>
  </si>
  <si>
    <t>Encours clients (DSO en jours)</t>
  </si>
  <si>
    <t>Délai paiement fournisseurs (DPO en jours)</t>
  </si>
  <si>
    <t>Ligne de crédit disponible (€)</t>
  </si>
  <si>
    <t>Réserve mobilisable sous 48h (€)</t>
  </si>
  <si>
    <t>Baisse d'activité scénario -10% (%)</t>
  </si>
  <si>
    <t>Baisse d'activité scénario -20% (%)</t>
  </si>
  <si>
    <t>Hypothèse de semaines par mois</t>
  </si>
  <si>
    <t>MODE D'EMPLOI</t>
  </si>
  <si>
    <t>1) Modifiez les cellules bleues (valeurs d'entrée).</t>
  </si>
  <si>
    <t>2) Les KPI et la prévision 13 semaines se calculent automatiquement.</t>
  </si>
  <si>
    <t>3) Lisez le 'Tableau de bord' pour votre seuil de rupture.</t>
  </si>
  <si>
    <t>4) Utilisez la feuille 'Actions' pour noter vos leviers.</t>
  </si>
  <si>
    <t>KPI de trésorerie</t>
  </si>
  <si>
    <t>Base</t>
  </si>
  <si>
    <t>Scénario -10%</t>
  </si>
  <si>
    <t>Scénario -20%</t>
  </si>
  <si>
    <t>Marge brute mensuelle (€)</t>
  </si>
  <si>
    <t>Cash net opérationnel / mois (€)</t>
  </si>
  <si>
    <t>Cash mobilisable immédiat (€)</t>
  </si>
  <si>
    <t>Runway (mois avant rupture)</t>
  </si>
  <si>
    <t>Statut</t>
  </si>
  <si>
    <t>Semaines</t>
  </si>
  <si>
    <t>Base: Encaissements</t>
  </si>
  <si>
    <t>Base: Décaissements</t>
  </si>
  <si>
    <t>Base: Solde hebdo</t>
  </si>
  <si>
    <t>Base: Cumul cash</t>
  </si>
  <si>
    <t>Semaine 1</t>
  </si>
  <si>
    <t>Semaine 2</t>
  </si>
  <si>
    <t>Semaine 3</t>
  </si>
  <si>
    <t>Semaine 4</t>
  </si>
  <si>
    <t>Semaine 5</t>
  </si>
  <si>
    <t>Semaine 6</t>
  </si>
  <si>
    <t>Semaine 7</t>
  </si>
  <si>
    <t>Semaine 8</t>
  </si>
  <si>
    <t>Semaine 9</t>
  </si>
  <si>
    <t>Semaine 10</t>
  </si>
  <si>
    <t>Semaine 11</t>
  </si>
  <si>
    <t>Semaine 12</t>
  </si>
  <si>
    <t>Semaine 13</t>
  </si>
  <si>
    <t>Scénario -10% Enc.</t>
  </si>
  <si>
    <t>Scénario -10% Déc.</t>
  </si>
  <si>
    <t>Solde -10%</t>
  </si>
  <si>
    <t>Cumul cash -10%</t>
  </si>
  <si>
    <t>Scénario -20% Enc.</t>
  </si>
  <si>
    <t>Scénario -20% Déc.</t>
  </si>
  <si>
    <t>Solde -20%</t>
  </si>
  <si>
    <t>Cumul cash -20%</t>
  </si>
  <si>
    <t>Levier d'action (ex: relance clients, remise PA, affacturage)</t>
  </si>
  <si>
    <t>Échéance</t>
  </si>
  <si>
    <t>Responsable</t>
  </si>
  <si>
    <t>Impact estimé sur cash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</si>
</sst>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EAF2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3" fontId="0" fillId="3" borderId="0" xfId="0" applyNumberFormat="1" applyFill="1"/>
    <xf numFmtId="164" fontId="0" fillId="3" borderId="0" xfId="0" applyNumberFormat="1" applyFill="1"/>
    <xf numFmtId="1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3" fontId="0" fillId="0" borderId="0" xfId="0" applyNumberFormat="1"/>
    <xf numFmtId="0" fontId="1" fillId="0" borderId="1" xfId="0" applyFont="1" applyBorder="1" applyAlignment="1">
      <alignment horizontal="center" vertical="top"/>
    </xf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workbookViewId="0">
      <selection activeCell="B16" sqref="B16"/>
    </sheetView>
  </sheetViews>
  <sheetFormatPr baseColWidth="10" defaultColWidth="8.7265625" defaultRowHeight="14.5" x14ac:dyDescent="0.35"/>
  <cols>
    <col min="1" max="1" width="42.7265625" customWidth="1"/>
    <col min="2" max="2" width="22.7265625" customWidth="1"/>
  </cols>
  <sheetData>
    <row r="1" spans="1:2" x14ac:dyDescent="0.35">
      <c r="A1" s="1" t="s">
        <v>0</v>
      </c>
      <c r="B1" s="1" t="s">
        <v>1</v>
      </c>
    </row>
    <row r="2" spans="1:2" ht="15.5" x14ac:dyDescent="0.35">
      <c r="A2" s="2" t="s">
        <v>2</v>
      </c>
      <c r="B2" s="3">
        <v>50000</v>
      </c>
    </row>
    <row r="3" spans="1:2" x14ac:dyDescent="0.35">
      <c r="A3" t="s">
        <v>3</v>
      </c>
      <c r="B3" s="3">
        <v>120000</v>
      </c>
    </row>
    <row r="4" spans="1:2" x14ac:dyDescent="0.35">
      <c r="A4" t="s">
        <v>4</v>
      </c>
      <c r="B4" s="4">
        <v>0.35</v>
      </c>
    </row>
    <row r="5" spans="1:2" x14ac:dyDescent="0.35">
      <c r="A5" t="s">
        <v>5</v>
      </c>
      <c r="B5" s="3">
        <v>60000</v>
      </c>
    </row>
    <row r="6" spans="1:2" x14ac:dyDescent="0.35">
      <c r="A6" t="s">
        <v>6</v>
      </c>
      <c r="B6" s="5">
        <v>45</v>
      </c>
    </row>
    <row r="7" spans="1:2" x14ac:dyDescent="0.35">
      <c r="A7" t="s">
        <v>7</v>
      </c>
      <c r="B7" s="5">
        <v>30</v>
      </c>
    </row>
    <row r="8" spans="1:2" x14ac:dyDescent="0.35">
      <c r="A8" t="s">
        <v>8</v>
      </c>
      <c r="B8" s="3">
        <v>20000</v>
      </c>
    </row>
    <row r="9" spans="1:2" x14ac:dyDescent="0.35">
      <c r="A9" t="s">
        <v>9</v>
      </c>
      <c r="B9" s="3">
        <v>10000</v>
      </c>
    </row>
    <row r="10" spans="1:2" x14ac:dyDescent="0.35">
      <c r="A10" t="s">
        <v>10</v>
      </c>
      <c r="B10" s="4">
        <v>-0.1</v>
      </c>
    </row>
    <row r="11" spans="1:2" x14ac:dyDescent="0.35">
      <c r="A11" t="s">
        <v>11</v>
      </c>
      <c r="B11" s="4">
        <v>-0.2</v>
      </c>
    </row>
    <row r="12" spans="1:2" x14ac:dyDescent="0.35">
      <c r="A12" t="s">
        <v>12</v>
      </c>
      <c r="B12" s="5">
        <v>4.33</v>
      </c>
    </row>
    <row r="13" spans="1:2" x14ac:dyDescent="0.35">
      <c r="A13" t="s">
        <v>13</v>
      </c>
      <c r="B13">
        <v>4.33</v>
      </c>
    </row>
    <row r="15" spans="1:2" ht="18.5" x14ac:dyDescent="0.45">
      <c r="A15" s="12" t="s">
        <v>14</v>
      </c>
    </row>
    <row r="16" spans="1:2" ht="37" x14ac:dyDescent="0.45">
      <c r="A16" s="13" t="s">
        <v>15</v>
      </c>
    </row>
    <row r="17" spans="1:1" ht="37" x14ac:dyDescent="0.45">
      <c r="A17" s="13" t="s">
        <v>16</v>
      </c>
    </row>
    <row r="18" spans="1:1" ht="37" x14ac:dyDescent="0.45">
      <c r="A18" s="13" t="s">
        <v>17</v>
      </c>
    </row>
    <row r="19" spans="1:1" ht="37" x14ac:dyDescent="0.35">
      <c r="A19" s="14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tabSelected="1" workbookViewId="0">
      <selection activeCell="B11" sqref="B11"/>
    </sheetView>
  </sheetViews>
  <sheetFormatPr baseColWidth="10" defaultColWidth="8.7265625" defaultRowHeight="14.5" x14ac:dyDescent="0.35"/>
  <cols>
    <col min="1" max="1" width="42.7265625" customWidth="1"/>
    <col min="2" max="4" width="22.7265625" customWidth="1"/>
  </cols>
  <sheetData>
    <row r="1" spans="1:4" x14ac:dyDescent="0.35">
      <c r="A1" s="6" t="s">
        <v>19</v>
      </c>
      <c r="B1" s="6" t="s">
        <v>20</v>
      </c>
      <c r="C1" s="6" t="s">
        <v>21</v>
      </c>
      <c r="D1" s="6" t="s">
        <v>22</v>
      </c>
    </row>
    <row r="2" spans="1:4" x14ac:dyDescent="0.35">
      <c r="A2" t="s">
        <v>23</v>
      </c>
      <c r="B2" s="7">
        <f>CA_Mensuel*MargeBrute</f>
        <v>21000</v>
      </c>
      <c r="C2" s="7">
        <f>(CA_Mensuel*(1+Var_10))*MargeBrute</f>
        <v>16800</v>
      </c>
      <c r="D2" s="7">
        <f>(CA_Mensuel*(1+Var_20))*MargeBrute</f>
        <v>111930</v>
      </c>
    </row>
    <row r="3" spans="1:4" x14ac:dyDescent="0.35">
      <c r="A3" t="s">
        <v>24</v>
      </c>
      <c r="B3" s="7">
        <f>B2-FraisFixes</f>
        <v>20955</v>
      </c>
      <c r="C3" s="7">
        <f>C2-FraisFixes</f>
        <v>16755</v>
      </c>
      <c r="D3" s="7">
        <f>D2-FraisFixes</f>
        <v>111885</v>
      </c>
    </row>
    <row r="4" spans="1:4" x14ac:dyDescent="0.35">
      <c r="A4" t="s">
        <v>25</v>
      </c>
      <c r="B4" s="7">
        <f>CashDepart+LigneCredit+Reserve48h</f>
        <v>129999.9</v>
      </c>
      <c r="C4" s="7">
        <f>B4</f>
        <v>129999.9</v>
      </c>
      <c r="D4" s="7">
        <f>B4</f>
        <v>129999.9</v>
      </c>
    </row>
    <row r="5" spans="1:4" x14ac:dyDescent="0.35">
      <c r="A5" t="s">
        <v>26</v>
      </c>
      <c r="B5">
        <f>IF(B3&lt;0, B4/ABS(B3), 99)</f>
        <v>99</v>
      </c>
      <c r="C5">
        <f>IF(C3&lt;0, B4/ABS(C3), 99)</f>
        <v>99</v>
      </c>
      <c r="D5">
        <f>IF(D3&lt;0, B4/ABS(D3), 99)</f>
        <v>99</v>
      </c>
    </row>
    <row r="6" spans="1:4" x14ac:dyDescent="0.35">
      <c r="A6" t="s">
        <v>27</v>
      </c>
      <c r="B6" s="9" t="str">
        <f>IF(B5&lt;1,"⚠️ URGENCE &lt; 1 mois", IF(B5&lt;3, "🟠 Vigilance 1-3 mois", "🟢 Confort &gt; 3 mois"))</f>
        <v>🟢 Confort &gt; 3 mois</v>
      </c>
      <c r="C6" s="10" t="str">
        <f>IF(C5&lt;1,"⚠️ URGENCE &lt; 1 mois", IF(C5&lt;3, "🟠 Vigilance 1-3 mois", "🟢 Confort &gt; 3 mois"))</f>
        <v>🟢 Confort &gt; 3 mois</v>
      </c>
      <c r="D6" s="11" t="str">
        <f>IF(D5&lt;1,"⚠️ URGENCE &lt; 1 mois", IF(D5&lt;3, "🟠 Vigilance 1-3 mois", "🟢 Confort &gt; 3 mois"))</f>
        <v>🟢 Confort &gt; 3 mois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4"/>
  <sheetViews>
    <sheetView workbookViewId="0">
      <selection activeCell="B5" sqref="B5"/>
    </sheetView>
  </sheetViews>
  <sheetFormatPr baseColWidth="10" defaultColWidth="8.7265625" defaultRowHeight="14.5" x14ac:dyDescent="0.35"/>
  <cols>
    <col min="1" max="1" width="22.7265625" customWidth="1"/>
    <col min="2" max="13" width="16.7265625" customWidth="1"/>
  </cols>
  <sheetData>
    <row r="1" spans="1:14" x14ac:dyDescent="0.35">
      <c r="A1" s="6" t="s">
        <v>28</v>
      </c>
      <c r="B1" s="6" t="s">
        <v>29</v>
      </c>
      <c r="C1" s="6" t="s">
        <v>30</v>
      </c>
      <c r="D1" s="6" t="s">
        <v>31</v>
      </c>
      <c r="E1" s="6" t="s">
        <v>32</v>
      </c>
      <c r="G1" s="6" t="s">
        <v>46</v>
      </c>
      <c r="H1" s="6" t="s">
        <v>47</v>
      </c>
      <c r="I1" s="6" t="s">
        <v>48</v>
      </c>
      <c r="J1" s="6" t="s">
        <v>49</v>
      </c>
      <c r="K1" s="6" t="s">
        <v>50</v>
      </c>
      <c r="L1" s="6" t="s">
        <v>51</v>
      </c>
      <c r="M1" s="6" t="s">
        <v>52</v>
      </c>
      <c r="N1" s="6" t="s">
        <v>53</v>
      </c>
    </row>
    <row r="2" spans="1:14" x14ac:dyDescent="0.35">
      <c r="A2" t="s">
        <v>33</v>
      </c>
      <c r="B2">
        <f t="shared" ref="B2:B14" si="0">(CA_Mensuel*MargeBrute)/SemParMois</f>
        <v>4849.8845265588916</v>
      </c>
      <c r="C2">
        <f t="shared" ref="C2:C14" si="1">(FraisFixes)/SemParMois</f>
        <v>10.392609699769054</v>
      </c>
      <c r="D2">
        <f t="shared" ref="D2:D14" si="2">B2-C2</f>
        <v>4839.4919168591223</v>
      </c>
      <c r="E2">
        <f>CashDepart + D2</f>
        <v>124839.49191685912</v>
      </c>
      <c r="G2">
        <f t="shared" ref="G2:G14" si="3">(CA_Mensuel*(1+Var_10)*MargeBrute)/SemParMois</f>
        <v>3879.9076212471132</v>
      </c>
      <c r="H2">
        <f t="shared" ref="H2:H14" si="4">(FraisFixes)/SemParMois</f>
        <v>10.392609699769054</v>
      </c>
      <c r="I2">
        <f t="shared" ref="I2:I14" si="5">G2-H2</f>
        <v>3869.5150115473443</v>
      </c>
      <c r="J2">
        <f>CashDepart + I2</f>
        <v>123869.51501154734</v>
      </c>
      <c r="K2">
        <f t="shared" ref="K2:K14" si="6">(CA_Mensuel*(1+Var_20)*MargeBrute)/SemParMois</f>
        <v>25849.88452655889</v>
      </c>
      <c r="L2">
        <f t="shared" ref="L2:L14" si="7">(FraisFixes)/SemParMois</f>
        <v>10.392609699769054</v>
      </c>
      <c r="M2">
        <f t="shared" ref="M2:M14" si="8">K2-L2</f>
        <v>25839.491916859122</v>
      </c>
      <c r="N2">
        <f>CashDepart + M2</f>
        <v>145839.49191685912</v>
      </c>
    </row>
    <row r="3" spans="1:14" x14ac:dyDescent="0.35">
      <c r="A3" t="s">
        <v>34</v>
      </c>
      <c r="B3">
        <f t="shared" si="0"/>
        <v>4849.8845265588916</v>
      </c>
      <c r="C3">
        <f t="shared" si="1"/>
        <v>10.392609699769054</v>
      </c>
      <c r="D3">
        <f t="shared" si="2"/>
        <v>4839.4919168591223</v>
      </c>
      <c r="E3">
        <f t="shared" ref="E3:E14" si="9">E2 + D3</f>
        <v>129678.98383371823</v>
      </c>
      <c r="G3">
        <f t="shared" si="3"/>
        <v>3879.9076212471132</v>
      </c>
      <c r="H3">
        <f t="shared" si="4"/>
        <v>10.392609699769054</v>
      </c>
      <c r="I3">
        <f t="shared" si="5"/>
        <v>3869.5150115473443</v>
      </c>
      <c r="J3">
        <f t="shared" ref="J3:J14" si="10">J2 + I3</f>
        <v>127739.03002309467</v>
      </c>
      <c r="K3">
        <f t="shared" si="6"/>
        <v>25849.88452655889</v>
      </c>
      <c r="L3">
        <f t="shared" si="7"/>
        <v>10.392609699769054</v>
      </c>
      <c r="M3">
        <f t="shared" si="8"/>
        <v>25839.491916859122</v>
      </c>
      <c r="N3">
        <f t="shared" ref="N3:N14" si="11">N2 + M3</f>
        <v>171678.98383371823</v>
      </c>
    </row>
    <row r="4" spans="1:14" x14ac:dyDescent="0.35">
      <c r="A4" t="s">
        <v>35</v>
      </c>
      <c r="B4">
        <f t="shared" si="0"/>
        <v>4849.8845265588916</v>
      </c>
      <c r="C4">
        <f t="shared" si="1"/>
        <v>10.392609699769054</v>
      </c>
      <c r="D4">
        <f t="shared" si="2"/>
        <v>4839.4919168591223</v>
      </c>
      <c r="E4">
        <f t="shared" si="9"/>
        <v>134518.47575057735</v>
      </c>
      <c r="G4">
        <f t="shared" si="3"/>
        <v>3879.9076212471132</v>
      </c>
      <c r="H4">
        <f t="shared" si="4"/>
        <v>10.392609699769054</v>
      </c>
      <c r="I4">
        <f t="shared" si="5"/>
        <v>3869.5150115473443</v>
      </c>
      <c r="J4">
        <f t="shared" si="10"/>
        <v>131608.54503464201</v>
      </c>
      <c r="K4">
        <f t="shared" si="6"/>
        <v>25849.88452655889</v>
      </c>
      <c r="L4">
        <f t="shared" si="7"/>
        <v>10.392609699769054</v>
      </c>
      <c r="M4">
        <f t="shared" si="8"/>
        <v>25839.491916859122</v>
      </c>
      <c r="N4">
        <f t="shared" si="11"/>
        <v>197518.47575057735</v>
      </c>
    </row>
    <row r="5" spans="1:14" x14ac:dyDescent="0.35">
      <c r="A5" t="s">
        <v>36</v>
      </c>
      <c r="B5">
        <f t="shared" si="0"/>
        <v>4849.8845265588916</v>
      </c>
      <c r="C5">
        <f t="shared" si="1"/>
        <v>10.392609699769054</v>
      </c>
      <c r="D5">
        <f t="shared" si="2"/>
        <v>4839.4919168591223</v>
      </c>
      <c r="E5">
        <f t="shared" si="9"/>
        <v>139357.96766743646</v>
      </c>
      <c r="G5">
        <f t="shared" si="3"/>
        <v>3879.9076212471132</v>
      </c>
      <c r="H5">
        <f t="shared" si="4"/>
        <v>10.392609699769054</v>
      </c>
      <c r="I5">
        <f t="shared" si="5"/>
        <v>3869.5150115473443</v>
      </c>
      <c r="J5">
        <f t="shared" si="10"/>
        <v>135478.06004618935</v>
      </c>
      <c r="K5">
        <f t="shared" si="6"/>
        <v>25849.88452655889</v>
      </c>
      <c r="L5">
        <f t="shared" si="7"/>
        <v>10.392609699769054</v>
      </c>
      <c r="M5">
        <f t="shared" si="8"/>
        <v>25839.491916859122</v>
      </c>
      <c r="N5">
        <f t="shared" si="11"/>
        <v>223357.96766743646</v>
      </c>
    </row>
    <row r="6" spans="1:14" x14ac:dyDescent="0.35">
      <c r="A6" t="s">
        <v>37</v>
      </c>
      <c r="B6">
        <f t="shared" si="0"/>
        <v>4849.8845265588916</v>
      </c>
      <c r="C6">
        <f t="shared" si="1"/>
        <v>10.392609699769054</v>
      </c>
      <c r="D6">
        <f t="shared" si="2"/>
        <v>4839.4919168591223</v>
      </c>
      <c r="E6">
        <f t="shared" si="9"/>
        <v>144197.45958429558</v>
      </c>
      <c r="G6">
        <f t="shared" si="3"/>
        <v>3879.9076212471132</v>
      </c>
      <c r="H6">
        <f t="shared" si="4"/>
        <v>10.392609699769054</v>
      </c>
      <c r="I6">
        <f t="shared" si="5"/>
        <v>3869.5150115473443</v>
      </c>
      <c r="J6">
        <f t="shared" si="10"/>
        <v>139347.57505773669</v>
      </c>
      <c r="K6">
        <f t="shared" si="6"/>
        <v>25849.88452655889</v>
      </c>
      <c r="L6">
        <f t="shared" si="7"/>
        <v>10.392609699769054</v>
      </c>
      <c r="M6">
        <f t="shared" si="8"/>
        <v>25839.491916859122</v>
      </c>
      <c r="N6">
        <f t="shared" si="11"/>
        <v>249197.45958429558</v>
      </c>
    </row>
    <row r="7" spans="1:14" x14ac:dyDescent="0.35">
      <c r="A7" t="s">
        <v>38</v>
      </c>
      <c r="B7">
        <f t="shared" si="0"/>
        <v>4849.8845265588916</v>
      </c>
      <c r="C7">
        <f t="shared" si="1"/>
        <v>10.392609699769054</v>
      </c>
      <c r="D7">
        <f t="shared" si="2"/>
        <v>4839.4919168591223</v>
      </c>
      <c r="E7">
        <f t="shared" si="9"/>
        <v>149036.95150115469</v>
      </c>
      <c r="G7">
        <f t="shared" si="3"/>
        <v>3879.9076212471132</v>
      </c>
      <c r="H7">
        <f t="shared" si="4"/>
        <v>10.392609699769054</v>
      </c>
      <c r="I7">
        <f t="shared" si="5"/>
        <v>3869.5150115473443</v>
      </c>
      <c r="J7">
        <f t="shared" si="10"/>
        <v>143217.09006928402</v>
      </c>
      <c r="K7">
        <f t="shared" si="6"/>
        <v>25849.88452655889</v>
      </c>
      <c r="L7">
        <f t="shared" si="7"/>
        <v>10.392609699769054</v>
      </c>
      <c r="M7">
        <f t="shared" si="8"/>
        <v>25839.491916859122</v>
      </c>
      <c r="N7">
        <f t="shared" si="11"/>
        <v>275036.95150115469</v>
      </c>
    </row>
    <row r="8" spans="1:14" x14ac:dyDescent="0.35">
      <c r="A8" t="s">
        <v>39</v>
      </c>
      <c r="B8">
        <f t="shared" si="0"/>
        <v>4849.8845265588916</v>
      </c>
      <c r="C8">
        <f t="shared" si="1"/>
        <v>10.392609699769054</v>
      </c>
      <c r="D8">
        <f t="shared" si="2"/>
        <v>4839.4919168591223</v>
      </c>
      <c r="E8">
        <f t="shared" si="9"/>
        <v>153876.44341801381</v>
      </c>
      <c r="G8">
        <f t="shared" si="3"/>
        <v>3879.9076212471132</v>
      </c>
      <c r="H8">
        <f t="shared" si="4"/>
        <v>10.392609699769054</v>
      </c>
      <c r="I8">
        <f t="shared" si="5"/>
        <v>3869.5150115473443</v>
      </c>
      <c r="J8">
        <f t="shared" si="10"/>
        <v>147086.60508083136</v>
      </c>
      <c r="K8">
        <f t="shared" si="6"/>
        <v>25849.88452655889</v>
      </c>
      <c r="L8">
        <f t="shared" si="7"/>
        <v>10.392609699769054</v>
      </c>
      <c r="M8">
        <f t="shared" si="8"/>
        <v>25839.491916859122</v>
      </c>
      <c r="N8">
        <f t="shared" si="11"/>
        <v>300876.44341801381</v>
      </c>
    </row>
    <row r="9" spans="1:14" x14ac:dyDescent="0.35">
      <c r="A9" t="s">
        <v>40</v>
      </c>
      <c r="B9">
        <f t="shared" si="0"/>
        <v>4849.8845265588916</v>
      </c>
      <c r="C9">
        <f t="shared" si="1"/>
        <v>10.392609699769054</v>
      </c>
      <c r="D9">
        <f t="shared" si="2"/>
        <v>4839.4919168591223</v>
      </c>
      <c r="E9">
        <f t="shared" si="9"/>
        <v>158715.93533487292</v>
      </c>
      <c r="G9">
        <f t="shared" si="3"/>
        <v>3879.9076212471132</v>
      </c>
      <c r="H9">
        <f t="shared" si="4"/>
        <v>10.392609699769054</v>
      </c>
      <c r="I9">
        <f t="shared" si="5"/>
        <v>3869.5150115473443</v>
      </c>
      <c r="J9">
        <f t="shared" si="10"/>
        <v>150956.1200923787</v>
      </c>
      <c r="K9">
        <f t="shared" si="6"/>
        <v>25849.88452655889</v>
      </c>
      <c r="L9">
        <f t="shared" si="7"/>
        <v>10.392609699769054</v>
      </c>
      <c r="M9">
        <f t="shared" si="8"/>
        <v>25839.491916859122</v>
      </c>
      <c r="N9">
        <f t="shared" si="11"/>
        <v>326715.93533487292</v>
      </c>
    </row>
    <row r="10" spans="1:14" x14ac:dyDescent="0.35">
      <c r="A10" t="s">
        <v>41</v>
      </c>
      <c r="B10">
        <f t="shared" si="0"/>
        <v>4849.8845265588916</v>
      </c>
      <c r="C10">
        <f t="shared" si="1"/>
        <v>10.392609699769054</v>
      </c>
      <c r="D10">
        <f t="shared" si="2"/>
        <v>4839.4919168591223</v>
      </c>
      <c r="E10">
        <f t="shared" si="9"/>
        <v>163555.42725173204</v>
      </c>
      <c r="G10">
        <f t="shared" si="3"/>
        <v>3879.9076212471132</v>
      </c>
      <c r="H10">
        <f t="shared" si="4"/>
        <v>10.392609699769054</v>
      </c>
      <c r="I10">
        <f t="shared" si="5"/>
        <v>3869.5150115473443</v>
      </c>
      <c r="J10">
        <f t="shared" si="10"/>
        <v>154825.63510392603</v>
      </c>
      <c r="K10">
        <f t="shared" si="6"/>
        <v>25849.88452655889</v>
      </c>
      <c r="L10">
        <f t="shared" si="7"/>
        <v>10.392609699769054</v>
      </c>
      <c r="M10">
        <f t="shared" si="8"/>
        <v>25839.491916859122</v>
      </c>
      <c r="N10">
        <f t="shared" si="11"/>
        <v>352555.42725173204</v>
      </c>
    </row>
    <row r="11" spans="1:14" x14ac:dyDescent="0.35">
      <c r="A11" t="s">
        <v>42</v>
      </c>
      <c r="B11">
        <f t="shared" si="0"/>
        <v>4849.8845265588916</v>
      </c>
      <c r="C11">
        <f t="shared" si="1"/>
        <v>10.392609699769054</v>
      </c>
      <c r="D11">
        <f t="shared" si="2"/>
        <v>4839.4919168591223</v>
      </c>
      <c r="E11">
        <f t="shared" si="9"/>
        <v>168394.91916859115</v>
      </c>
      <c r="G11">
        <f t="shared" si="3"/>
        <v>3879.9076212471132</v>
      </c>
      <c r="H11">
        <f t="shared" si="4"/>
        <v>10.392609699769054</v>
      </c>
      <c r="I11">
        <f t="shared" si="5"/>
        <v>3869.5150115473443</v>
      </c>
      <c r="J11">
        <f t="shared" si="10"/>
        <v>158695.15011547337</v>
      </c>
      <c r="K11">
        <f t="shared" si="6"/>
        <v>25849.88452655889</v>
      </c>
      <c r="L11">
        <f t="shared" si="7"/>
        <v>10.392609699769054</v>
      </c>
      <c r="M11">
        <f t="shared" si="8"/>
        <v>25839.491916859122</v>
      </c>
      <c r="N11">
        <f t="shared" si="11"/>
        <v>378394.91916859115</v>
      </c>
    </row>
    <row r="12" spans="1:14" x14ac:dyDescent="0.35">
      <c r="A12" t="s">
        <v>43</v>
      </c>
      <c r="B12">
        <f t="shared" si="0"/>
        <v>4849.8845265588916</v>
      </c>
      <c r="C12">
        <f t="shared" si="1"/>
        <v>10.392609699769054</v>
      </c>
      <c r="D12">
        <f t="shared" si="2"/>
        <v>4839.4919168591223</v>
      </c>
      <c r="E12">
        <f t="shared" si="9"/>
        <v>173234.41108545027</v>
      </c>
      <c r="G12">
        <f t="shared" si="3"/>
        <v>3879.9076212471132</v>
      </c>
      <c r="H12">
        <f t="shared" si="4"/>
        <v>10.392609699769054</v>
      </c>
      <c r="I12">
        <f t="shared" si="5"/>
        <v>3869.5150115473443</v>
      </c>
      <c r="J12">
        <f t="shared" si="10"/>
        <v>162564.66512702071</v>
      </c>
      <c r="K12">
        <f t="shared" si="6"/>
        <v>25849.88452655889</v>
      </c>
      <c r="L12">
        <f t="shared" si="7"/>
        <v>10.392609699769054</v>
      </c>
      <c r="M12">
        <f t="shared" si="8"/>
        <v>25839.491916859122</v>
      </c>
      <c r="N12">
        <f t="shared" si="11"/>
        <v>404234.41108545027</v>
      </c>
    </row>
    <row r="13" spans="1:14" x14ac:dyDescent="0.35">
      <c r="A13" t="s">
        <v>44</v>
      </c>
      <c r="B13">
        <f t="shared" si="0"/>
        <v>4849.8845265588916</v>
      </c>
      <c r="C13">
        <f t="shared" si="1"/>
        <v>10.392609699769054</v>
      </c>
      <c r="D13">
        <f t="shared" si="2"/>
        <v>4839.4919168591223</v>
      </c>
      <c r="E13">
        <f t="shared" si="9"/>
        <v>178073.90300230938</v>
      </c>
      <c r="G13">
        <f t="shared" si="3"/>
        <v>3879.9076212471132</v>
      </c>
      <c r="H13">
        <f t="shared" si="4"/>
        <v>10.392609699769054</v>
      </c>
      <c r="I13">
        <f t="shared" si="5"/>
        <v>3869.5150115473443</v>
      </c>
      <c r="J13">
        <f t="shared" si="10"/>
        <v>166434.18013856804</v>
      </c>
      <c r="K13">
        <f t="shared" si="6"/>
        <v>25849.88452655889</v>
      </c>
      <c r="L13">
        <f t="shared" si="7"/>
        <v>10.392609699769054</v>
      </c>
      <c r="M13">
        <f t="shared" si="8"/>
        <v>25839.491916859122</v>
      </c>
      <c r="N13">
        <f t="shared" si="11"/>
        <v>430073.90300230938</v>
      </c>
    </row>
    <row r="14" spans="1:14" x14ac:dyDescent="0.35">
      <c r="A14" t="s">
        <v>45</v>
      </c>
      <c r="B14">
        <f t="shared" si="0"/>
        <v>4849.8845265588916</v>
      </c>
      <c r="C14">
        <f t="shared" si="1"/>
        <v>10.392609699769054</v>
      </c>
      <c r="D14">
        <f t="shared" si="2"/>
        <v>4839.4919168591223</v>
      </c>
      <c r="E14">
        <f t="shared" si="9"/>
        <v>182913.3949191685</v>
      </c>
      <c r="G14">
        <f t="shared" si="3"/>
        <v>3879.9076212471132</v>
      </c>
      <c r="H14">
        <f t="shared" si="4"/>
        <v>10.392609699769054</v>
      </c>
      <c r="I14">
        <f t="shared" si="5"/>
        <v>3869.5150115473443</v>
      </c>
      <c r="J14">
        <f t="shared" si="10"/>
        <v>170303.69515011538</v>
      </c>
      <c r="K14">
        <f t="shared" si="6"/>
        <v>25849.88452655889</v>
      </c>
      <c r="L14">
        <f t="shared" si="7"/>
        <v>10.392609699769054</v>
      </c>
      <c r="M14">
        <f t="shared" si="8"/>
        <v>25839.491916859122</v>
      </c>
      <c r="N14">
        <f t="shared" si="11"/>
        <v>455913.3949191685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"/>
  <sheetViews>
    <sheetView workbookViewId="0">
      <selection activeCell="A2" sqref="A2"/>
    </sheetView>
  </sheetViews>
  <sheetFormatPr baseColWidth="10" defaultColWidth="8.7265625" defaultRowHeight="14.5" x14ac:dyDescent="0.35"/>
  <cols>
    <col min="1" max="1" width="50" bestFit="1" customWidth="1"/>
    <col min="2" max="2" width="8.6328125" bestFit="1" customWidth="1"/>
    <col min="3" max="3" width="11.36328125" bestFit="1" customWidth="1"/>
    <col min="4" max="4" width="22.90625" bestFit="1" customWidth="1"/>
  </cols>
  <sheetData>
    <row r="1" spans="1:4" x14ac:dyDescent="0.35">
      <c r="A1" s="8" t="s">
        <v>54</v>
      </c>
      <c r="B1" s="8" t="s">
        <v>55</v>
      </c>
      <c r="C1" s="8" t="s">
        <v>56</v>
      </c>
      <c r="D1" s="8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11</vt:i4>
      </vt:variant>
    </vt:vector>
  </HeadingPairs>
  <TitlesOfParts>
    <vt:vector size="15" baseType="lpstr">
      <vt:lpstr>Entrées</vt:lpstr>
      <vt:lpstr>Tableau de bord</vt:lpstr>
      <vt:lpstr>Prévision 13 semaines</vt:lpstr>
      <vt:lpstr>Actions</vt:lpstr>
      <vt:lpstr>CA_Mensuel</vt:lpstr>
      <vt:lpstr>CashDepart</vt:lpstr>
      <vt:lpstr>DPO</vt:lpstr>
      <vt:lpstr>DSO</vt:lpstr>
      <vt:lpstr>FraisFixes</vt:lpstr>
      <vt:lpstr>LigneCredit</vt:lpstr>
      <vt:lpstr>MargeBrute</vt:lpstr>
      <vt:lpstr>Reserve48h</vt:lpstr>
      <vt:lpstr>SemParMois</vt:lpstr>
      <vt:lpstr>Var_10</vt:lpstr>
      <vt:lpstr>Var_20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BRUHL</dc:creator>
  <cp:lastModifiedBy>LAURENT BRUHL</cp:lastModifiedBy>
  <dcterms:created xsi:type="dcterms:W3CDTF">2025-10-09T05:14:14Z</dcterms:created>
  <dcterms:modified xsi:type="dcterms:W3CDTF">2025-10-09T05:19:08Z</dcterms:modified>
</cp:coreProperties>
</file>